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Individual Crops\"/>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42-Grass" sheetId="85" r:id="rId7"/>
    <sheet name="43-Grass Hay" sheetId="86" r:id="rId8"/>
    <sheet name="44-Millet" sheetId="89" r:id="rId9"/>
    <sheet name="45-Millet" sheetId="132" r:id="rId10"/>
    <sheet name="46-Oats" sheetId="87" r:id="rId11"/>
    <sheet name="47-Pasture" sheetId="88" r:id="rId12"/>
    <sheet name="48-Peas" sheetId="133" r:id="rId13"/>
    <sheet name="49-Sorghum-Sudan" sheetId="90" r:id="rId14"/>
    <sheet name="Stop" sheetId="146" state="hidden" r:id="rId15"/>
  </sheets>
  <externalReferences>
    <externalReference r:id="rId16"/>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6">'42-Grass'!$A$2:$L$75</definedName>
    <definedName name="_xlnm.Print_Area" localSheetId="7">'43-Grass Hay'!$A$2:$L$75</definedName>
    <definedName name="_xlnm.Print_Area" localSheetId="8">'44-Millet'!$A$2:$L$75</definedName>
    <definedName name="_xlnm.Print_Area" localSheetId="9">'45-Millet'!$A$2:$L$75</definedName>
    <definedName name="_xlnm.Print_Area" localSheetId="10">'46-Oats'!$A$2:$L$75</definedName>
    <definedName name="_xlnm.Print_Area" localSheetId="11">'47-Pasture'!$A$2:$L$75</definedName>
    <definedName name="_xlnm.Print_Area" localSheetId="12">'48-Peas'!$A$2:$L$75</definedName>
    <definedName name="_xlnm.Print_Area" localSheetId="13">'49-Sorghum-Sudan'!$A$2:$L$75</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 localSheetId="9">Table1[[Machine]:[ C3 ]]</definedName>
    <definedName name="PwrDepreciation" localSheetId="12">Table1[[Machine]:[ C3 ]]</definedName>
    <definedName name="PwrDepreciation">Table1[[Machine]:[ C3 ]]</definedName>
    <definedName name="PwrUnit">Operations!$AO$1:$AO$11</definedName>
    <definedName name="RealEstateList">Table9[Description]</definedName>
    <definedName name="RETable" localSheetId="9">Table9[#All]</definedName>
    <definedName name="RETable" localSheetId="12">Table9[#All]</definedName>
    <definedName name="RETable">Table9[#All]</definedName>
    <definedName name="REValue">'General Variables'!$E$5:$F$15</definedName>
  </definedNames>
  <calcPr calcId="152511"/>
</workbook>
</file>

<file path=xl/calcChain.xml><?xml version="1.0" encoding="utf-8"?>
<calcChain xmlns="http://schemas.openxmlformats.org/spreadsheetml/2006/main">
  <c r="A2" i="85" l="1"/>
  <c r="A7" i="85" s="1"/>
  <c r="A2" i="86"/>
  <c r="A7" i="86" s="1"/>
  <c r="A2" i="89"/>
  <c r="A7" i="89" s="1"/>
  <c r="A2" i="132"/>
  <c r="A7" i="132" s="1"/>
  <c r="A2" i="87"/>
  <c r="A7" i="87" s="1"/>
  <c r="A2" i="88"/>
  <c r="A7" i="88" s="1"/>
  <c r="A2" i="133"/>
  <c r="A7" i="133" s="1"/>
  <c r="A2" i="90"/>
  <c r="A7" i="90" s="1"/>
  <c r="A5" i="85" l="1"/>
  <c r="A5" i="88"/>
  <c r="A5" i="90"/>
  <c r="A5" i="133"/>
  <c r="A5" i="89"/>
  <c r="A5" i="132"/>
  <c r="A5" i="86"/>
  <c r="A5" i="87"/>
  <c r="I39" i="85" l="1"/>
  <c r="J39" i="85"/>
  <c r="I40" i="85"/>
  <c r="J40" i="85"/>
  <c r="I41" i="85"/>
  <c r="J41" i="85"/>
  <c r="I42" i="85"/>
  <c r="J42" i="85"/>
  <c r="I43" i="85"/>
  <c r="J43" i="85"/>
  <c r="I44" i="85"/>
  <c r="J44" i="85"/>
  <c r="I45" i="85"/>
  <c r="J45" i="85"/>
  <c r="I46" i="85"/>
  <c r="J46" i="85"/>
  <c r="I47" i="85"/>
  <c r="J47" i="85"/>
  <c r="I48" i="85"/>
  <c r="J48" i="85"/>
  <c r="I49" i="85"/>
  <c r="J49" i="85"/>
  <c r="I50" i="85"/>
  <c r="J50" i="85"/>
  <c r="I51" i="85"/>
  <c r="J51" i="85"/>
  <c r="I52" i="85"/>
  <c r="J52" i="85"/>
  <c r="I53" i="85"/>
  <c r="J53" i="85"/>
  <c r="I54" i="85"/>
  <c r="J54" i="85"/>
  <c r="I55" i="85"/>
  <c r="J55" i="85"/>
  <c r="I56" i="85"/>
  <c r="J56" i="85"/>
  <c r="I57" i="85"/>
  <c r="J57" i="85"/>
  <c r="I58" i="85"/>
  <c r="J58" i="85"/>
  <c r="I59" i="85"/>
  <c r="J59" i="85"/>
  <c r="I60" i="85"/>
  <c r="J60" i="85"/>
  <c r="C39" i="85"/>
  <c r="C40" i="85"/>
  <c r="C41" i="85"/>
  <c r="C42" i="85"/>
  <c r="C43" i="85"/>
  <c r="C44" i="85"/>
  <c r="C45" i="85"/>
  <c r="C46" i="85"/>
  <c r="C47" i="85"/>
  <c r="C48" i="85"/>
  <c r="C49" i="85"/>
  <c r="C50" i="85"/>
  <c r="C51" i="85"/>
  <c r="C52" i="85"/>
  <c r="C53" i="85"/>
  <c r="C54" i="85"/>
  <c r="C55" i="85"/>
  <c r="C56" i="85"/>
  <c r="C57" i="85"/>
  <c r="C58" i="85"/>
  <c r="C59" i="85"/>
  <c r="C60" i="85"/>
  <c r="C61" i="85"/>
  <c r="C12" i="88" l="1"/>
  <c r="C16" i="85"/>
  <c r="A8" i="85"/>
  <c r="A8" i="86"/>
  <c r="A8" i="89"/>
  <c r="A8" i="132"/>
  <c r="A8" i="87"/>
  <c r="A8" i="88"/>
  <c r="A8" i="133"/>
  <c r="A8" i="90"/>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85"/>
  <c r="C241" i="85"/>
  <c r="C242" i="85"/>
  <c r="C243" i="85"/>
  <c r="C244" i="85"/>
  <c r="C240" i="86"/>
  <c r="C241" i="86"/>
  <c r="C242" i="86"/>
  <c r="C243" i="86"/>
  <c r="C244" i="86"/>
  <c r="C240" i="89"/>
  <c r="C241" i="89"/>
  <c r="C242" i="89"/>
  <c r="C243" i="89"/>
  <c r="C244" i="89"/>
  <c r="C240" i="132"/>
  <c r="C241" i="132"/>
  <c r="C242" i="132"/>
  <c r="C243" i="132"/>
  <c r="C244" i="132"/>
  <c r="C240" i="87"/>
  <c r="C241" i="87"/>
  <c r="C242" i="87"/>
  <c r="C243" i="87"/>
  <c r="C244" i="87"/>
  <c r="C240" i="88"/>
  <c r="C241" i="88"/>
  <c r="C242" i="88"/>
  <c r="C243" i="88"/>
  <c r="C244" i="88"/>
  <c r="C240" i="133"/>
  <c r="C241" i="133"/>
  <c r="C242" i="133"/>
  <c r="C243" i="133"/>
  <c r="C244" i="133"/>
  <c r="C240" i="90"/>
  <c r="C241" i="90"/>
  <c r="C242" i="90"/>
  <c r="C243" i="90"/>
  <c r="C244" i="90"/>
  <c r="B240" i="85"/>
  <c r="B241" i="85"/>
  <c r="B242" i="85"/>
  <c r="B243" i="85"/>
  <c r="B244" i="85"/>
  <c r="B240" i="86"/>
  <c r="B241" i="86"/>
  <c r="B242" i="86"/>
  <c r="B243" i="86"/>
  <c r="B244" i="86"/>
  <c r="B240" i="89"/>
  <c r="B241" i="89"/>
  <c r="B242" i="89"/>
  <c r="B243" i="89"/>
  <c r="B244" i="89"/>
  <c r="B240" i="132"/>
  <c r="B241" i="132"/>
  <c r="B242" i="132"/>
  <c r="B243" i="132"/>
  <c r="B244" i="132"/>
  <c r="B240" i="87"/>
  <c r="B241" i="87"/>
  <c r="B242" i="87"/>
  <c r="B243" i="87"/>
  <c r="B244" i="87"/>
  <c r="B240" i="88"/>
  <c r="B241" i="88"/>
  <c r="B242" i="88"/>
  <c r="B243" i="88"/>
  <c r="B244" i="88"/>
  <c r="B240" i="133"/>
  <c r="B241" i="133"/>
  <c r="B242" i="133"/>
  <c r="B243" i="133"/>
  <c r="B244" i="133"/>
  <c r="B240" i="90"/>
  <c r="B241" i="90"/>
  <c r="B242" i="90"/>
  <c r="B243" i="90"/>
  <c r="B244" i="90"/>
  <c r="H102" i="2" l="1"/>
  <c r="H109" i="2"/>
  <c r="H16" i="2"/>
  <c r="H71" i="2"/>
  <c r="H43" i="2" l="1"/>
  <c r="H42" i="2"/>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G68" i="2" l="1"/>
  <c r="G120" i="2"/>
  <c r="G118" i="2"/>
  <c r="G119" i="2"/>
  <c r="G27" i="2"/>
  <c r="H42" i="133" l="1"/>
  <c r="H125" i="133"/>
  <c r="H124" i="133"/>
  <c r="H123" i="133"/>
  <c r="H122" i="133"/>
  <c r="H121" i="133"/>
  <c r="H120" i="133"/>
  <c r="H119" i="133"/>
  <c r="H118" i="133"/>
  <c r="H117" i="133"/>
  <c r="H116" i="133"/>
  <c r="H115" i="133"/>
  <c r="H114" i="133"/>
  <c r="H113" i="133"/>
  <c r="H112" i="133"/>
  <c r="H111" i="133"/>
  <c r="H110" i="133"/>
  <c r="B75" i="133"/>
  <c r="B74" i="133"/>
  <c r="I71" i="133"/>
  <c r="F71" i="133"/>
  <c r="I70" i="133"/>
  <c r="F70" i="133"/>
  <c r="K69" i="133"/>
  <c r="I66" i="133"/>
  <c r="H66" i="133"/>
  <c r="K61" i="133"/>
  <c r="C61" i="133"/>
  <c r="K60" i="133"/>
  <c r="J60" i="133"/>
  <c r="I60" i="133"/>
  <c r="C60" i="133"/>
  <c r="K59" i="133"/>
  <c r="J59" i="133"/>
  <c r="I59" i="133"/>
  <c r="C59" i="133"/>
  <c r="K58" i="133"/>
  <c r="J58" i="133"/>
  <c r="I58" i="133"/>
  <c r="C58" i="133"/>
  <c r="K57" i="133"/>
  <c r="J57" i="133"/>
  <c r="I57" i="133"/>
  <c r="C57" i="133"/>
  <c r="K56" i="133"/>
  <c r="J56" i="133"/>
  <c r="I56" i="133"/>
  <c r="C56" i="133"/>
  <c r="K55" i="133"/>
  <c r="J55" i="133"/>
  <c r="I55" i="133"/>
  <c r="C55" i="133"/>
  <c r="K54" i="133"/>
  <c r="J54" i="133"/>
  <c r="I54" i="133"/>
  <c r="C54" i="133"/>
  <c r="K53" i="133"/>
  <c r="J53" i="133"/>
  <c r="I53" i="133"/>
  <c r="C53" i="133"/>
  <c r="K52" i="133"/>
  <c r="J52" i="133"/>
  <c r="I52" i="133"/>
  <c r="C52" i="133"/>
  <c r="K51" i="133"/>
  <c r="J51" i="133"/>
  <c r="I51" i="133"/>
  <c r="C51" i="133"/>
  <c r="K50" i="133"/>
  <c r="J50" i="133"/>
  <c r="I50" i="133"/>
  <c r="C50" i="133"/>
  <c r="K49" i="133"/>
  <c r="J49" i="133"/>
  <c r="I49" i="133"/>
  <c r="C49" i="133"/>
  <c r="K48" i="133"/>
  <c r="J48" i="133"/>
  <c r="I48" i="133"/>
  <c r="C48" i="133"/>
  <c r="K47" i="133"/>
  <c r="J47" i="133"/>
  <c r="I47" i="133"/>
  <c r="C47" i="133"/>
  <c r="K46" i="133"/>
  <c r="J46" i="133"/>
  <c r="I46" i="133"/>
  <c r="C46" i="133"/>
  <c r="K45" i="133"/>
  <c r="J45" i="133"/>
  <c r="I45" i="133"/>
  <c r="C45" i="133"/>
  <c r="K44" i="133"/>
  <c r="J44" i="133"/>
  <c r="I44" i="133"/>
  <c r="C44" i="133"/>
  <c r="K43" i="133"/>
  <c r="J43" i="133"/>
  <c r="I43" i="133"/>
  <c r="C43" i="133"/>
  <c r="I42" i="133"/>
  <c r="C42" i="133"/>
  <c r="I41" i="133"/>
  <c r="C41" i="133"/>
  <c r="I40" i="133"/>
  <c r="C40" i="133"/>
  <c r="I39" i="133"/>
  <c r="C39" i="133"/>
  <c r="I38" i="133"/>
  <c r="C38" i="133"/>
  <c r="I37" i="133"/>
  <c r="C37" i="133"/>
  <c r="J31" i="133"/>
  <c r="I31" i="133"/>
  <c r="H31" i="133"/>
  <c r="G31" i="133"/>
  <c r="F31" i="133"/>
  <c r="E31" i="133"/>
  <c r="J30" i="133"/>
  <c r="I30" i="133"/>
  <c r="H30" i="133"/>
  <c r="G30" i="133"/>
  <c r="F30" i="133"/>
  <c r="E30" i="133"/>
  <c r="J29" i="133"/>
  <c r="I29" i="133"/>
  <c r="H29" i="133"/>
  <c r="G29" i="133"/>
  <c r="F29" i="133"/>
  <c r="E29" i="133"/>
  <c r="J28" i="133"/>
  <c r="I28" i="133"/>
  <c r="H28" i="133"/>
  <c r="G28" i="133"/>
  <c r="F28" i="133"/>
  <c r="E28" i="133"/>
  <c r="J27" i="133"/>
  <c r="I27" i="133"/>
  <c r="H27" i="133"/>
  <c r="G27" i="133"/>
  <c r="F27" i="133"/>
  <c r="E27" i="133"/>
  <c r="J26" i="133"/>
  <c r="I26" i="133"/>
  <c r="H26" i="133"/>
  <c r="G26" i="133"/>
  <c r="F26" i="133"/>
  <c r="E26" i="133"/>
  <c r="J25" i="133"/>
  <c r="I25" i="133"/>
  <c r="H25" i="133"/>
  <c r="G25" i="133"/>
  <c r="F25" i="133"/>
  <c r="E25" i="133"/>
  <c r="J24" i="133"/>
  <c r="I24" i="133"/>
  <c r="H24" i="133"/>
  <c r="G24" i="133"/>
  <c r="F24" i="133"/>
  <c r="E24" i="133"/>
  <c r="J23" i="133"/>
  <c r="I23" i="133"/>
  <c r="H23" i="133"/>
  <c r="G23" i="133"/>
  <c r="F23" i="133"/>
  <c r="E23" i="133"/>
  <c r="J22" i="133"/>
  <c r="I22" i="133"/>
  <c r="H22" i="133"/>
  <c r="G22" i="133"/>
  <c r="F22" i="133"/>
  <c r="E22" i="133"/>
  <c r="J21" i="133"/>
  <c r="I21" i="133"/>
  <c r="H21" i="133"/>
  <c r="G21" i="133"/>
  <c r="F21" i="133"/>
  <c r="E21" i="133"/>
  <c r="J20" i="133"/>
  <c r="I20" i="133"/>
  <c r="H20" i="133"/>
  <c r="G20" i="133"/>
  <c r="F20" i="133"/>
  <c r="E20" i="133"/>
  <c r="J19" i="133"/>
  <c r="I19" i="133"/>
  <c r="H19" i="133"/>
  <c r="G19" i="133"/>
  <c r="F19" i="133"/>
  <c r="E19" i="133"/>
  <c r="J18" i="133"/>
  <c r="I18" i="133"/>
  <c r="H18" i="133"/>
  <c r="G18" i="133"/>
  <c r="F18" i="133"/>
  <c r="E18" i="133"/>
  <c r="J17" i="133"/>
  <c r="I17" i="133"/>
  <c r="H17" i="133"/>
  <c r="G17" i="133"/>
  <c r="F17" i="133"/>
  <c r="E17" i="133"/>
  <c r="J16" i="133"/>
  <c r="I16" i="133"/>
  <c r="H16" i="133"/>
  <c r="G16" i="133"/>
  <c r="F16" i="133"/>
  <c r="E16" i="133"/>
  <c r="J15" i="133"/>
  <c r="I15" i="133"/>
  <c r="H15" i="133"/>
  <c r="G15" i="133"/>
  <c r="F15" i="133"/>
  <c r="E15" i="133"/>
  <c r="K15" i="133" s="1"/>
  <c r="E14" i="133"/>
  <c r="E13" i="133"/>
  <c r="E12" i="133"/>
  <c r="F10" i="133"/>
  <c r="E10" i="133"/>
  <c r="O4" i="133"/>
  <c r="L2" i="133"/>
  <c r="H45" i="132"/>
  <c r="H125" i="132"/>
  <c r="H124" i="132"/>
  <c r="H123" i="132"/>
  <c r="H122" i="132"/>
  <c r="H121" i="132"/>
  <c r="H120" i="132"/>
  <c r="H119" i="132"/>
  <c r="H118" i="132"/>
  <c r="H117" i="132"/>
  <c r="H116" i="132"/>
  <c r="H115" i="132"/>
  <c r="H114" i="132"/>
  <c r="H113" i="132"/>
  <c r="H112" i="132"/>
  <c r="H111" i="132"/>
  <c r="H110" i="132"/>
  <c r="B75" i="132"/>
  <c r="B74" i="132"/>
  <c r="I71" i="132"/>
  <c r="F71" i="132"/>
  <c r="I70" i="132"/>
  <c r="F70" i="132"/>
  <c r="K69" i="132"/>
  <c r="I66" i="132"/>
  <c r="H66" i="132"/>
  <c r="K61" i="132"/>
  <c r="C61" i="132"/>
  <c r="K60" i="132"/>
  <c r="J60" i="132"/>
  <c r="I60" i="132"/>
  <c r="C60" i="132"/>
  <c r="K59" i="132"/>
  <c r="J59" i="132"/>
  <c r="I59" i="132"/>
  <c r="C59" i="132"/>
  <c r="K58" i="132"/>
  <c r="J58" i="132"/>
  <c r="I58" i="132"/>
  <c r="C58" i="132"/>
  <c r="K57" i="132"/>
  <c r="J57" i="132"/>
  <c r="I57" i="132"/>
  <c r="C57" i="132"/>
  <c r="K56" i="132"/>
  <c r="J56" i="132"/>
  <c r="I56" i="132"/>
  <c r="C56" i="132"/>
  <c r="K55" i="132"/>
  <c r="J55" i="132"/>
  <c r="I55" i="132"/>
  <c r="C55" i="132"/>
  <c r="K54" i="132"/>
  <c r="J54" i="132"/>
  <c r="I54" i="132"/>
  <c r="C54" i="132"/>
  <c r="K53" i="132"/>
  <c r="J53" i="132"/>
  <c r="I53" i="132"/>
  <c r="C53" i="132"/>
  <c r="K52" i="132"/>
  <c r="J52" i="132"/>
  <c r="I52" i="132"/>
  <c r="C52" i="132"/>
  <c r="K51" i="132"/>
  <c r="J51" i="132"/>
  <c r="I51" i="132"/>
  <c r="C51" i="132"/>
  <c r="K50" i="132"/>
  <c r="J50" i="132"/>
  <c r="I50" i="132"/>
  <c r="C50" i="132"/>
  <c r="K49" i="132"/>
  <c r="J49" i="132"/>
  <c r="I49" i="132"/>
  <c r="C49" i="132"/>
  <c r="K48" i="132"/>
  <c r="J48" i="132"/>
  <c r="I48" i="132"/>
  <c r="C48" i="132"/>
  <c r="K47" i="132"/>
  <c r="J47" i="132"/>
  <c r="I47" i="132"/>
  <c r="C47" i="132"/>
  <c r="K46" i="132"/>
  <c r="J46" i="132"/>
  <c r="I46" i="132"/>
  <c r="C46" i="132"/>
  <c r="I45" i="132"/>
  <c r="C45" i="132"/>
  <c r="I44" i="132"/>
  <c r="C44" i="132"/>
  <c r="I43" i="132"/>
  <c r="C43" i="132"/>
  <c r="I42" i="132"/>
  <c r="C42" i="132"/>
  <c r="I41" i="132"/>
  <c r="C41" i="132"/>
  <c r="I40" i="132"/>
  <c r="C40" i="132"/>
  <c r="I39" i="132"/>
  <c r="C39" i="132"/>
  <c r="I38" i="132"/>
  <c r="C38" i="132"/>
  <c r="I37" i="132"/>
  <c r="C37" i="132"/>
  <c r="J31" i="132"/>
  <c r="I31" i="132"/>
  <c r="H31" i="132"/>
  <c r="G31" i="132"/>
  <c r="F31" i="132"/>
  <c r="E31" i="132"/>
  <c r="J30" i="132"/>
  <c r="I30" i="132"/>
  <c r="H30" i="132"/>
  <c r="G30" i="132"/>
  <c r="F30" i="132"/>
  <c r="E30" i="132"/>
  <c r="J29" i="132"/>
  <c r="I29" i="132"/>
  <c r="H29" i="132"/>
  <c r="G29" i="132"/>
  <c r="F29" i="132"/>
  <c r="E29" i="132"/>
  <c r="J28" i="132"/>
  <c r="I28" i="132"/>
  <c r="H28" i="132"/>
  <c r="G28" i="132"/>
  <c r="F28" i="132"/>
  <c r="E28" i="132"/>
  <c r="J27" i="132"/>
  <c r="I27" i="132"/>
  <c r="H27" i="132"/>
  <c r="G27" i="132"/>
  <c r="F27" i="132"/>
  <c r="E27" i="132"/>
  <c r="J26" i="132"/>
  <c r="I26" i="132"/>
  <c r="H26" i="132"/>
  <c r="G26" i="132"/>
  <c r="F26" i="132"/>
  <c r="E26" i="132"/>
  <c r="J25" i="132"/>
  <c r="I25" i="132"/>
  <c r="H25" i="132"/>
  <c r="G25" i="132"/>
  <c r="F25" i="132"/>
  <c r="E25" i="132"/>
  <c r="J24" i="132"/>
  <c r="I24" i="132"/>
  <c r="H24" i="132"/>
  <c r="G24" i="132"/>
  <c r="F24" i="132"/>
  <c r="E24" i="132"/>
  <c r="J23" i="132"/>
  <c r="I23" i="132"/>
  <c r="H23" i="132"/>
  <c r="G23" i="132"/>
  <c r="F23" i="132"/>
  <c r="E23" i="132"/>
  <c r="J22" i="132"/>
  <c r="I22" i="132"/>
  <c r="H22" i="132"/>
  <c r="G22" i="132"/>
  <c r="F22" i="132"/>
  <c r="E22" i="132"/>
  <c r="J21" i="132"/>
  <c r="I21" i="132"/>
  <c r="H21" i="132"/>
  <c r="G21" i="132"/>
  <c r="F21" i="132"/>
  <c r="E21" i="132"/>
  <c r="J20" i="132"/>
  <c r="I20" i="132"/>
  <c r="H20" i="132"/>
  <c r="G20" i="132"/>
  <c r="F20" i="132"/>
  <c r="E20" i="132"/>
  <c r="J19" i="132"/>
  <c r="I19" i="132"/>
  <c r="H19" i="132"/>
  <c r="G19" i="132"/>
  <c r="F19" i="132"/>
  <c r="E19" i="132"/>
  <c r="J18" i="132"/>
  <c r="I18" i="132"/>
  <c r="H18" i="132"/>
  <c r="G18" i="132"/>
  <c r="F18" i="132"/>
  <c r="E18" i="132"/>
  <c r="E17" i="132"/>
  <c r="E16" i="132"/>
  <c r="E15" i="132"/>
  <c r="E14" i="132"/>
  <c r="E13" i="132"/>
  <c r="E12" i="132"/>
  <c r="F10" i="132"/>
  <c r="E10" i="132"/>
  <c r="O4" i="132"/>
  <c r="L2" i="132"/>
  <c r="K70" i="133" l="1"/>
  <c r="K70" i="132"/>
  <c r="K17" i="133"/>
  <c r="K25" i="133"/>
  <c r="K16" i="133"/>
  <c r="K21" i="133"/>
  <c r="K24" i="133"/>
  <c r="K29" i="133"/>
  <c r="K19" i="133"/>
  <c r="K23" i="133"/>
  <c r="K27" i="133"/>
  <c r="K31" i="133"/>
  <c r="K20" i="133"/>
  <c r="K18" i="133"/>
  <c r="K22" i="133"/>
  <c r="K28" i="133"/>
  <c r="K26" i="133"/>
  <c r="K30" i="133"/>
  <c r="K71" i="133"/>
  <c r="E33" i="133"/>
  <c r="K21" i="132"/>
  <c r="K25" i="132"/>
  <c r="K20" i="132"/>
  <c r="K29" i="132"/>
  <c r="K23" i="132"/>
  <c r="K28" i="132"/>
  <c r="K27" i="132"/>
  <c r="K31" i="132"/>
  <c r="K22" i="132"/>
  <c r="K24" i="132"/>
  <c r="K26" i="132"/>
  <c r="K30" i="132"/>
  <c r="K71" i="132"/>
  <c r="K19" i="132"/>
  <c r="K18" i="132"/>
  <c r="E33" i="132"/>
  <c r="J41" i="1" l="1"/>
  <c r="H41" i="1"/>
  <c r="J39" i="1" l="1"/>
  <c r="H39" i="1"/>
  <c r="H114" i="2" l="1"/>
  <c r="H124" i="2"/>
  <c r="H81" i="2"/>
  <c r="J37" i="133" s="1"/>
  <c r="K37" i="133" s="1"/>
  <c r="H79" i="2"/>
  <c r="J38" i="133" s="1"/>
  <c r="K38" i="133" s="1"/>
  <c r="H106" i="2"/>
  <c r="J39" i="133" s="1"/>
  <c r="K39" i="133" s="1"/>
  <c r="H39" i="2"/>
  <c r="H93" i="2"/>
  <c r="H91" i="2"/>
  <c r="H126" i="2"/>
  <c r="K61" i="85" l="1"/>
  <c r="K61" i="86"/>
  <c r="K61" i="88"/>
  <c r="K61" i="90"/>
  <c r="C61" i="86"/>
  <c r="C61" i="87"/>
  <c r="C61" i="88"/>
  <c r="C61" i="89"/>
  <c r="C61" i="90"/>
  <c r="K61" i="87"/>
  <c r="K61" i="89"/>
  <c r="H123" i="85"/>
  <c r="H124" i="85"/>
  <c r="H125" i="85"/>
  <c r="H123" i="86"/>
  <c r="H124" i="86"/>
  <c r="H125" i="86"/>
  <c r="H123" i="87"/>
  <c r="H124" i="87"/>
  <c r="H125" i="87"/>
  <c r="H123" i="88"/>
  <c r="H124" i="88"/>
  <c r="H125" i="88"/>
  <c r="H123" i="89"/>
  <c r="H124" i="89"/>
  <c r="H125" i="89"/>
  <c r="H123" i="90"/>
  <c r="H124" i="90"/>
  <c r="H125" i="90"/>
  <c r="H120" i="85"/>
  <c r="H121" i="85"/>
  <c r="H122" i="85"/>
  <c r="H120" i="86"/>
  <c r="H121" i="86"/>
  <c r="H122" i="86"/>
  <c r="H120" i="87"/>
  <c r="H121" i="87"/>
  <c r="H122" i="87"/>
  <c r="H120" i="88"/>
  <c r="H121" i="88"/>
  <c r="H122" i="88"/>
  <c r="H120" i="89"/>
  <c r="H121" i="89"/>
  <c r="H122" i="89"/>
  <c r="H120" i="90"/>
  <c r="H121" i="90"/>
  <c r="H122" i="90"/>
  <c r="H111" i="85"/>
  <c r="H112" i="85"/>
  <c r="H113" i="85"/>
  <c r="H114" i="85"/>
  <c r="H115" i="85"/>
  <c r="H116" i="85"/>
  <c r="H117" i="85"/>
  <c r="H118" i="85"/>
  <c r="H119" i="85"/>
  <c r="H111" i="86"/>
  <c r="H112" i="86"/>
  <c r="H113" i="86"/>
  <c r="H114" i="86"/>
  <c r="H115" i="86"/>
  <c r="H116" i="86"/>
  <c r="H117" i="86"/>
  <c r="H118" i="86"/>
  <c r="H119" i="86"/>
  <c r="H111" i="87"/>
  <c r="H112" i="87"/>
  <c r="H113" i="87"/>
  <c r="H114" i="87"/>
  <c r="H115" i="87"/>
  <c r="H116" i="87"/>
  <c r="H117" i="87"/>
  <c r="H118" i="87"/>
  <c r="H119" i="87"/>
  <c r="H111" i="88"/>
  <c r="H112" i="88"/>
  <c r="H113" i="88"/>
  <c r="H114" i="88"/>
  <c r="H115" i="88"/>
  <c r="H116" i="88"/>
  <c r="H117" i="88"/>
  <c r="H118" i="88"/>
  <c r="H119" i="88"/>
  <c r="H111" i="89"/>
  <c r="H112" i="89"/>
  <c r="H113" i="89"/>
  <c r="H114" i="89"/>
  <c r="H115" i="89"/>
  <c r="H116" i="89"/>
  <c r="H117" i="89"/>
  <c r="H118" i="89"/>
  <c r="H119" i="89"/>
  <c r="H111" i="90"/>
  <c r="H112" i="90"/>
  <c r="H113" i="90"/>
  <c r="H114" i="90"/>
  <c r="H115" i="90"/>
  <c r="H116" i="90"/>
  <c r="H117" i="90"/>
  <c r="H118" i="90"/>
  <c r="H119" i="90"/>
  <c r="H110" i="85"/>
  <c r="H110" i="86"/>
  <c r="H110" i="87"/>
  <c r="H110" i="88"/>
  <c r="H110" i="89"/>
  <c r="H110" i="90"/>
  <c r="H44" i="89" l="1"/>
  <c r="K56" i="85" l="1"/>
  <c r="K57" i="85"/>
  <c r="K58" i="85"/>
  <c r="K59" i="85"/>
  <c r="K60" i="85"/>
  <c r="I56" i="86"/>
  <c r="J56" i="86"/>
  <c r="K56" i="86"/>
  <c r="I57" i="86"/>
  <c r="J57" i="86"/>
  <c r="K57" i="86"/>
  <c r="I58" i="86"/>
  <c r="J58" i="86"/>
  <c r="K58" i="86"/>
  <c r="I59" i="86"/>
  <c r="J59" i="86"/>
  <c r="K59" i="86"/>
  <c r="I60" i="86"/>
  <c r="J60" i="86"/>
  <c r="K60" i="86"/>
  <c r="I56" i="87"/>
  <c r="J56" i="87"/>
  <c r="K56" i="87"/>
  <c r="I57" i="87"/>
  <c r="J57" i="87"/>
  <c r="K57" i="87"/>
  <c r="I58" i="87"/>
  <c r="J58" i="87"/>
  <c r="K58" i="87"/>
  <c r="I59" i="87"/>
  <c r="J59" i="87"/>
  <c r="K59" i="87"/>
  <c r="I60" i="87"/>
  <c r="J60" i="87"/>
  <c r="K60" i="87"/>
  <c r="I56" i="88"/>
  <c r="J56" i="88"/>
  <c r="K56" i="88"/>
  <c r="I57" i="88"/>
  <c r="J57" i="88"/>
  <c r="K57" i="88"/>
  <c r="I58" i="88"/>
  <c r="J58" i="88"/>
  <c r="K58" i="88"/>
  <c r="I59" i="88"/>
  <c r="J59" i="88"/>
  <c r="K59" i="88"/>
  <c r="I60" i="88"/>
  <c r="J60" i="88"/>
  <c r="K60" i="88"/>
  <c r="I56" i="89"/>
  <c r="J56" i="89"/>
  <c r="K56" i="89"/>
  <c r="I57" i="89"/>
  <c r="J57" i="89"/>
  <c r="K57" i="89"/>
  <c r="I58" i="89"/>
  <c r="J58" i="89"/>
  <c r="K58" i="89"/>
  <c r="I59" i="89"/>
  <c r="J59" i="89"/>
  <c r="K59" i="89"/>
  <c r="I60" i="89"/>
  <c r="J60" i="89"/>
  <c r="K60" i="89"/>
  <c r="I56" i="90"/>
  <c r="J56" i="90"/>
  <c r="K56" i="90"/>
  <c r="I57" i="90"/>
  <c r="J57" i="90"/>
  <c r="K57" i="90"/>
  <c r="I58" i="90"/>
  <c r="J58" i="90"/>
  <c r="K58" i="90"/>
  <c r="I59" i="90"/>
  <c r="J59" i="90"/>
  <c r="K59" i="90"/>
  <c r="I60" i="90"/>
  <c r="J60" i="90"/>
  <c r="K60" i="90"/>
  <c r="C56" i="86"/>
  <c r="C57" i="86"/>
  <c r="C58" i="86"/>
  <c r="C59" i="86"/>
  <c r="C60" i="86"/>
  <c r="C56" i="87"/>
  <c r="C57" i="87"/>
  <c r="C58" i="87"/>
  <c r="C59" i="87"/>
  <c r="C60" i="87"/>
  <c r="C56" i="88"/>
  <c r="C57" i="88"/>
  <c r="C58" i="88"/>
  <c r="C59" i="88"/>
  <c r="C60" i="88"/>
  <c r="C56" i="89"/>
  <c r="C57" i="89"/>
  <c r="C58" i="89"/>
  <c r="C59" i="89"/>
  <c r="C60" i="89"/>
  <c r="C56" i="90"/>
  <c r="C57" i="90"/>
  <c r="C58" i="90"/>
  <c r="C59" i="90"/>
  <c r="C60" i="90"/>
  <c r="F10" i="85" l="1"/>
  <c r="F10" i="86"/>
  <c r="F10" i="87"/>
  <c r="F10" i="88"/>
  <c r="F10" i="89"/>
  <c r="F10" i="90"/>
  <c r="H43" i="87"/>
  <c r="H39" i="90"/>
  <c r="H39" i="86"/>
  <c r="E19" i="85" l="1"/>
  <c r="E19" i="86"/>
  <c r="E19" i="87"/>
  <c r="E19" i="88"/>
  <c r="E19" i="89"/>
  <c r="E19" i="90"/>
  <c r="E12" i="85"/>
  <c r="E12" i="86"/>
  <c r="E12" i="87"/>
  <c r="E12" i="89"/>
  <c r="E12" i="90"/>
  <c r="O4" i="85"/>
  <c r="O4" i="86"/>
  <c r="O4" i="87"/>
  <c r="O4" i="88"/>
  <c r="O4" i="89"/>
  <c r="O4" i="90"/>
  <c r="E17" i="87" l="1"/>
  <c r="E18" i="87"/>
  <c r="C18" i="90"/>
  <c r="E18" i="90" s="1"/>
  <c r="C17" i="90"/>
  <c r="C15" i="86"/>
  <c r="E15" i="86" s="1"/>
  <c r="C14" i="86"/>
  <c r="E17" i="85"/>
  <c r="L2" i="90"/>
  <c r="B75" i="90"/>
  <c r="B74" i="90"/>
  <c r="I71" i="90"/>
  <c r="F71" i="90"/>
  <c r="I70" i="90"/>
  <c r="F70" i="90"/>
  <c r="K69" i="90"/>
  <c r="I66" i="90"/>
  <c r="H66" i="90"/>
  <c r="K55" i="90"/>
  <c r="J55" i="90"/>
  <c r="I55" i="90"/>
  <c r="C55" i="90"/>
  <c r="K54" i="90"/>
  <c r="J54" i="90"/>
  <c r="I54" i="90"/>
  <c r="C54" i="90"/>
  <c r="K53" i="90"/>
  <c r="J53" i="90"/>
  <c r="I53" i="90"/>
  <c r="C53" i="90"/>
  <c r="K52" i="90"/>
  <c r="J52" i="90"/>
  <c r="I52" i="90"/>
  <c r="C52" i="90"/>
  <c r="K51" i="90"/>
  <c r="J51" i="90"/>
  <c r="I51" i="90"/>
  <c r="C51" i="90"/>
  <c r="K50" i="90"/>
  <c r="J50" i="90"/>
  <c r="I50" i="90"/>
  <c r="C50" i="90"/>
  <c r="K49" i="90"/>
  <c r="J49" i="90"/>
  <c r="I49" i="90"/>
  <c r="C49" i="90"/>
  <c r="K48" i="90"/>
  <c r="J48" i="90"/>
  <c r="I48" i="90"/>
  <c r="C48" i="90"/>
  <c r="K47" i="90"/>
  <c r="J47" i="90"/>
  <c r="I47" i="90"/>
  <c r="C47" i="90"/>
  <c r="K46" i="90"/>
  <c r="J46" i="90"/>
  <c r="I46" i="90"/>
  <c r="C46" i="90"/>
  <c r="K45" i="90"/>
  <c r="J45" i="90"/>
  <c r="I45" i="90"/>
  <c r="C45" i="90"/>
  <c r="K44" i="90"/>
  <c r="J44" i="90"/>
  <c r="I44" i="90"/>
  <c r="C44" i="90"/>
  <c r="K43" i="90"/>
  <c r="J43" i="90"/>
  <c r="I43" i="90"/>
  <c r="C43" i="90"/>
  <c r="K42" i="90"/>
  <c r="J42" i="90"/>
  <c r="I42" i="90"/>
  <c r="C42" i="90"/>
  <c r="K41" i="90"/>
  <c r="J41" i="90"/>
  <c r="I41" i="90"/>
  <c r="C41" i="90"/>
  <c r="K40" i="90"/>
  <c r="J40" i="90"/>
  <c r="I40" i="90"/>
  <c r="C40" i="90"/>
  <c r="I39" i="90"/>
  <c r="C39" i="90"/>
  <c r="I38" i="90"/>
  <c r="C38" i="90"/>
  <c r="I37" i="90"/>
  <c r="C37" i="90"/>
  <c r="J31" i="90"/>
  <c r="I31" i="90"/>
  <c r="H31" i="90"/>
  <c r="G31" i="90"/>
  <c r="F31" i="90"/>
  <c r="E31" i="90"/>
  <c r="J30" i="90"/>
  <c r="I30" i="90"/>
  <c r="H30" i="90"/>
  <c r="G30" i="90"/>
  <c r="F30" i="90"/>
  <c r="E30" i="90"/>
  <c r="J29" i="90"/>
  <c r="I29" i="90"/>
  <c r="H29" i="90"/>
  <c r="G29" i="90"/>
  <c r="F29" i="90"/>
  <c r="E29" i="90"/>
  <c r="J28" i="90"/>
  <c r="I28" i="90"/>
  <c r="H28" i="90"/>
  <c r="G28" i="90"/>
  <c r="F28" i="90"/>
  <c r="E28" i="90"/>
  <c r="J27" i="90"/>
  <c r="I27" i="90"/>
  <c r="H27" i="90"/>
  <c r="G27" i="90"/>
  <c r="F27" i="90"/>
  <c r="E27" i="90"/>
  <c r="J26" i="90"/>
  <c r="I26" i="90"/>
  <c r="H26" i="90"/>
  <c r="G26" i="90"/>
  <c r="F26" i="90"/>
  <c r="E26" i="90"/>
  <c r="J25" i="90"/>
  <c r="I25" i="90"/>
  <c r="H25" i="90"/>
  <c r="G25" i="90"/>
  <c r="F25" i="90"/>
  <c r="E25" i="90"/>
  <c r="J24" i="90"/>
  <c r="I24" i="90"/>
  <c r="H24" i="90"/>
  <c r="G24" i="90"/>
  <c r="F24" i="90"/>
  <c r="E24" i="90"/>
  <c r="J23" i="90"/>
  <c r="I23" i="90"/>
  <c r="H23" i="90"/>
  <c r="G23" i="90"/>
  <c r="F23" i="90"/>
  <c r="E23" i="90"/>
  <c r="J22" i="90"/>
  <c r="I22" i="90"/>
  <c r="H22" i="90"/>
  <c r="G22" i="90"/>
  <c r="F22" i="90"/>
  <c r="E22" i="90"/>
  <c r="J21" i="90"/>
  <c r="I21" i="90"/>
  <c r="H21" i="90"/>
  <c r="G21" i="90"/>
  <c r="F21" i="90"/>
  <c r="E21" i="90"/>
  <c r="J20" i="90"/>
  <c r="I20" i="90"/>
  <c r="H20" i="90"/>
  <c r="G20" i="90"/>
  <c r="F20" i="90"/>
  <c r="E20" i="90"/>
  <c r="J19" i="90"/>
  <c r="I19" i="90"/>
  <c r="H19" i="90"/>
  <c r="G19" i="90"/>
  <c r="F19" i="90"/>
  <c r="E16" i="90"/>
  <c r="E15" i="90"/>
  <c r="E14" i="90"/>
  <c r="E13" i="90"/>
  <c r="E10" i="90"/>
  <c r="L2" i="89"/>
  <c r="B75" i="89"/>
  <c r="B74" i="89"/>
  <c r="I71" i="89"/>
  <c r="F71" i="89"/>
  <c r="I70" i="89"/>
  <c r="F70" i="89"/>
  <c r="K69" i="89"/>
  <c r="I66" i="89"/>
  <c r="H66" i="89"/>
  <c r="K55" i="89"/>
  <c r="J55" i="89"/>
  <c r="I55" i="89"/>
  <c r="C55" i="89"/>
  <c r="K54" i="89"/>
  <c r="J54" i="89"/>
  <c r="I54" i="89"/>
  <c r="C54" i="89"/>
  <c r="K53" i="89"/>
  <c r="J53" i="89"/>
  <c r="I53" i="89"/>
  <c r="C53" i="89"/>
  <c r="K52" i="89"/>
  <c r="J52" i="89"/>
  <c r="I52" i="89"/>
  <c r="C52" i="89"/>
  <c r="K51" i="89"/>
  <c r="J51" i="89"/>
  <c r="I51" i="89"/>
  <c r="C51" i="89"/>
  <c r="K50" i="89"/>
  <c r="J50" i="89"/>
  <c r="I50" i="89"/>
  <c r="C50" i="89"/>
  <c r="K49" i="89"/>
  <c r="J49" i="89"/>
  <c r="I49" i="89"/>
  <c r="C49" i="89"/>
  <c r="K48" i="89"/>
  <c r="J48" i="89"/>
  <c r="I48" i="89"/>
  <c r="C48" i="89"/>
  <c r="K47" i="89"/>
  <c r="J47" i="89"/>
  <c r="I47" i="89"/>
  <c r="C47" i="89"/>
  <c r="K46" i="89"/>
  <c r="J46" i="89"/>
  <c r="I46" i="89"/>
  <c r="C46" i="89"/>
  <c r="K45" i="89"/>
  <c r="J45" i="89"/>
  <c r="I45" i="89"/>
  <c r="C45" i="89"/>
  <c r="I44" i="89"/>
  <c r="C44" i="89"/>
  <c r="I43" i="89"/>
  <c r="C43" i="89"/>
  <c r="I42" i="89"/>
  <c r="C42" i="89"/>
  <c r="I41" i="89"/>
  <c r="C41" i="89"/>
  <c r="I40" i="89"/>
  <c r="C40" i="89"/>
  <c r="I39" i="89"/>
  <c r="C39" i="89"/>
  <c r="I38" i="89"/>
  <c r="C38" i="89"/>
  <c r="I37" i="89"/>
  <c r="C37" i="89"/>
  <c r="J31" i="89"/>
  <c r="I31" i="89"/>
  <c r="H31" i="89"/>
  <c r="G31" i="89"/>
  <c r="F31" i="89"/>
  <c r="E31" i="89"/>
  <c r="J30" i="89"/>
  <c r="I30" i="89"/>
  <c r="H30" i="89"/>
  <c r="G30" i="89"/>
  <c r="F30" i="89"/>
  <c r="E30" i="89"/>
  <c r="J29" i="89"/>
  <c r="I29" i="89"/>
  <c r="H29" i="89"/>
  <c r="G29" i="89"/>
  <c r="F29" i="89"/>
  <c r="E29" i="89"/>
  <c r="J28" i="89"/>
  <c r="I28" i="89"/>
  <c r="H28" i="89"/>
  <c r="G28" i="89"/>
  <c r="F28" i="89"/>
  <c r="E28" i="89"/>
  <c r="J27" i="89"/>
  <c r="I27" i="89"/>
  <c r="H27" i="89"/>
  <c r="G27" i="89"/>
  <c r="F27" i="89"/>
  <c r="E27" i="89"/>
  <c r="J26" i="89"/>
  <c r="I26" i="89"/>
  <c r="H26" i="89"/>
  <c r="G26" i="89"/>
  <c r="F26" i="89"/>
  <c r="E26" i="89"/>
  <c r="J25" i="89"/>
  <c r="I25" i="89"/>
  <c r="H25" i="89"/>
  <c r="G25" i="89"/>
  <c r="F25" i="89"/>
  <c r="E25" i="89"/>
  <c r="J24" i="89"/>
  <c r="I24" i="89"/>
  <c r="H24" i="89"/>
  <c r="G24" i="89"/>
  <c r="F24" i="89"/>
  <c r="E24" i="89"/>
  <c r="J23" i="89"/>
  <c r="I23" i="89"/>
  <c r="H23" i="89"/>
  <c r="G23" i="89"/>
  <c r="F23" i="89"/>
  <c r="E23" i="89"/>
  <c r="J22" i="89"/>
  <c r="I22" i="89"/>
  <c r="H22" i="89"/>
  <c r="G22" i="89"/>
  <c r="F22" i="89"/>
  <c r="E22" i="89"/>
  <c r="J21" i="89"/>
  <c r="I21" i="89"/>
  <c r="H21" i="89"/>
  <c r="G21" i="89"/>
  <c r="F21" i="89"/>
  <c r="E21" i="89"/>
  <c r="J20" i="89"/>
  <c r="I20" i="89"/>
  <c r="H20" i="89"/>
  <c r="G20" i="89"/>
  <c r="F20" i="89"/>
  <c r="E20" i="89"/>
  <c r="K20" i="89" s="1"/>
  <c r="E18" i="89"/>
  <c r="E17" i="89"/>
  <c r="E16" i="89"/>
  <c r="E15" i="89"/>
  <c r="E14" i="89"/>
  <c r="E13" i="89"/>
  <c r="E10" i="89"/>
  <c r="L2" i="88"/>
  <c r="B75" i="88"/>
  <c r="B74" i="88"/>
  <c r="I71" i="88"/>
  <c r="F71" i="88"/>
  <c r="I70" i="88"/>
  <c r="F70" i="88"/>
  <c r="K69" i="88"/>
  <c r="I66" i="88"/>
  <c r="H66" i="88"/>
  <c r="K55" i="88"/>
  <c r="J55" i="88"/>
  <c r="I55" i="88"/>
  <c r="C55" i="88"/>
  <c r="K54" i="88"/>
  <c r="J54" i="88"/>
  <c r="I54" i="88"/>
  <c r="C54" i="88"/>
  <c r="K53" i="88"/>
  <c r="J53" i="88"/>
  <c r="I53" i="88"/>
  <c r="C53" i="88"/>
  <c r="K52" i="88"/>
  <c r="J52" i="88"/>
  <c r="I52" i="88"/>
  <c r="C52" i="88"/>
  <c r="K51" i="88"/>
  <c r="J51" i="88"/>
  <c r="I51" i="88"/>
  <c r="C51" i="88"/>
  <c r="K50" i="88"/>
  <c r="J50" i="88"/>
  <c r="I50" i="88"/>
  <c r="C50" i="88"/>
  <c r="K49" i="88"/>
  <c r="J49" i="88"/>
  <c r="I49" i="88"/>
  <c r="C49" i="88"/>
  <c r="K48" i="88"/>
  <c r="J48" i="88"/>
  <c r="I48" i="88"/>
  <c r="C48" i="88"/>
  <c r="K47" i="88"/>
  <c r="J47" i="88"/>
  <c r="I47" i="88"/>
  <c r="C47" i="88"/>
  <c r="K46" i="88"/>
  <c r="J46" i="88"/>
  <c r="I46" i="88"/>
  <c r="C46" i="88"/>
  <c r="K45" i="88"/>
  <c r="J45" i="88"/>
  <c r="I45" i="88"/>
  <c r="C45" i="88"/>
  <c r="K44" i="88"/>
  <c r="J44" i="88"/>
  <c r="I44" i="88"/>
  <c r="C44" i="88"/>
  <c r="K43" i="88"/>
  <c r="J43" i="88"/>
  <c r="I43" i="88"/>
  <c r="C43" i="88"/>
  <c r="K42" i="88"/>
  <c r="J42" i="88"/>
  <c r="I42" i="88"/>
  <c r="C42" i="88"/>
  <c r="K41" i="88"/>
  <c r="J41" i="88"/>
  <c r="I41" i="88"/>
  <c r="C41" i="88"/>
  <c r="I40" i="88"/>
  <c r="C40" i="88"/>
  <c r="I39" i="88"/>
  <c r="C39" i="88"/>
  <c r="I38" i="88"/>
  <c r="C38" i="88"/>
  <c r="I37" i="88"/>
  <c r="C37" i="88"/>
  <c r="J31" i="88"/>
  <c r="I31" i="88"/>
  <c r="H31" i="88"/>
  <c r="G31" i="88"/>
  <c r="F31" i="88"/>
  <c r="E31" i="88"/>
  <c r="J30" i="88"/>
  <c r="I30" i="88"/>
  <c r="H30" i="88"/>
  <c r="G30" i="88"/>
  <c r="F30" i="88"/>
  <c r="E30" i="88"/>
  <c r="J29" i="88"/>
  <c r="I29" i="88"/>
  <c r="H29" i="88"/>
  <c r="G29" i="88"/>
  <c r="F29" i="88"/>
  <c r="E29" i="88"/>
  <c r="J28" i="88"/>
  <c r="I28" i="88"/>
  <c r="H28" i="88"/>
  <c r="G28" i="88"/>
  <c r="F28" i="88"/>
  <c r="E28" i="88"/>
  <c r="J27" i="88"/>
  <c r="I27" i="88"/>
  <c r="H27" i="88"/>
  <c r="G27" i="88"/>
  <c r="F27" i="88"/>
  <c r="E27" i="88"/>
  <c r="J26" i="88"/>
  <c r="I26" i="88"/>
  <c r="H26" i="88"/>
  <c r="G26" i="88"/>
  <c r="F26" i="88"/>
  <c r="E26" i="88"/>
  <c r="J25" i="88"/>
  <c r="I25" i="88"/>
  <c r="H25" i="88"/>
  <c r="G25" i="88"/>
  <c r="F25" i="88"/>
  <c r="E25" i="88"/>
  <c r="J24" i="88"/>
  <c r="I24" i="88"/>
  <c r="H24" i="88"/>
  <c r="G24" i="88"/>
  <c r="F24" i="88"/>
  <c r="E24" i="88"/>
  <c r="J23" i="88"/>
  <c r="I23" i="88"/>
  <c r="H23" i="88"/>
  <c r="G23" i="88"/>
  <c r="F23" i="88"/>
  <c r="E23" i="88"/>
  <c r="J22" i="88"/>
  <c r="I22" i="88"/>
  <c r="H22" i="88"/>
  <c r="G22" i="88"/>
  <c r="F22" i="88"/>
  <c r="E22" i="88"/>
  <c r="J21" i="88"/>
  <c r="I21" i="88"/>
  <c r="H21" i="88"/>
  <c r="G21" i="88"/>
  <c r="F21" i="88"/>
  <c r="E21" i="88"/>
  <c r="J20" i="88"/>
  <c r="I20" i="88"/>
  <c r="H20" i="88"/>
  <c r="G20" i="88"/>
  <c r="F20" i="88"/>
  <c r="E20" i="88"/>
  <c r="J19" i="88"/>
  <c r="I19" i="88"/>
  <c r="H19" i="88"/>
  <c r="G19" i="88"/>
  <c r="F19" i="88"/>
  <c r="J18" i="88"/>
  <c r="I18" i="88"/>
  <c r="H18" i="88"/>
  <c r="G18" i="88"/>
  <c r="F18" i="88"/>
  <c r="E18" i="88"/>
  <c r="J17" i="88"/>
  <c r="I17" i="88"/>
  <c r="H17" i="88"/>
  <c r="G17" i="88"/>
  <c r="F17" i="88"/>
  <c r="E17" i="88"/>
  <c r="J16" i="88"/>
  <c r="I16" i="88"/>
  <c r="H16" i="88"/>
  <c r="G16" i="88"/>
  <c r="F16" i="88"/>
  <c r="E16" i="88"/>
  <c r="J15" i="88"/>
  <c r="I15" i="88"/>
  <c r="H15" i="88"/>
  <c r="G15" i="88"/>
  <c r="F15" i="88"/>
  <c r="E15" i="88"/>
  <c r="J14" i="88"/>
  <c r="I14" i="88"/>
  <c r="H14" i="88"/>
  <c r="G14" i="88"/>
  <c r="F14" i="88"/>
  <c r="E14" i="88"/>
  <c r="J13" i="88"/>
  <c r="I13" i="88"/>
  <c r="H13" i="88"/>
  <c r="G13" i="88"/>
  <c r="F13" i="88"/>
  <c r="E13" i="88"/>
  <c r="E10" i="88"/>
  <c r="L2" i="87"/>
  <c r="B75" i="87"/>
  <c r="B74" i="87"/>
  <c r="I71" i="87"/>
  <c r="F71" i="87"/>
  <c r="I70" i="87"/>
  <c r="F70" i="87"/>
  <c r="K69" i="87"/>
  <c r="I66" i="87"/>
  <c r="H66" i="87"/>
  <c r="K55" i="87"/>
  <c r="J55" i="87"/>
  <c r="I55" i="87"/>
  <c r="C55" i="87"/>
  <c r="K54" i="87"/>
  <c r="J54" i="87"/>
  <c r="I54" i="87"/>
  <c r="C54" i="87"/>
  <c r="K53" i="87"/>
  <c r="J53" i="87"/>
  <c r="I53" i="87"/>
  <c r="C53" i="87"/>
  <c r="K52" i="87"/>
  <c r="J52" i="87"/>
  <c r="I52" i="87"/>
  <c r="C52" i="87"/>
  <c r="K51" i="87"/>
  <c r="J51" i="87"/>
  <c r="I51" i="87"/>
  <c r="C51" i="87"/>
  <c r="K50" i="87"/>
  <c r="J50" i="87"/>
  <c r="I50" i="87"/>
  <c r="C50" i="87"/>
  <c r="K49" i="87"/>
  <c r="J49" i="87"/>
  <c r="I49" i="87"/>
  <c r="C49" i="87"/>
  <c r="K48" i="87"/>
  <c r="J48" i="87"/>
  <c r="I48" i="87"/>
  <c r="C48" i="87"/>
  <c r="K47" i="87"/>
  <c r="J47" i="87"/>
  <c r="I47" i="87"/>
  <c r="C47" i="87"/>
  <c r="K46" i="87"/>
  <c r="J46" i="87"/>
  <c r="I46" i="87"/>
  <c r="C46" i="87"/>
  <c r="K45" i="87"/>
  <c r="J45" i="87"/>
  <c r="I45" i="87"/>
  <c r="C45" i="87"/>
  <c r="I44" i="87"/>
  <c r="C44" i="87"/>
  <c r="I43" i="87"/>
  <c r="C43" i="87"/>
  <c r="I42" i="87"/>
  <c r="C42" i="87"/>
  <c r="I41" i="87"/>
  <c r="C41" i="87"/>
  <c r="I40" i="87"/>
  <c r="C40" i="87"/>
  <c r="I39" i="87"/>
  <c r="C39" i="87"/>
  <c r="I38" i="87"/>
  <c r="C38" i="87"/>
  <c r="I37" i="87"/>
  <c r="C37" i="87"/>
  <c r="J31" i="87"/>
  <c r="I31" i="87"/>
  <c r="H31" i="87"/>
  <c r="G31" i="87"/>
  <c r="F31" i="87"/>
  <c r="E31" i="87"/>
  <c r="J30" i="87"/>
  <c r="I30" i="87"/>
  <c r="H30" i="87"/>
  <c r="G30" i="87"/>
  <c r="F30" i="87"/>
  <c r="E30" i="87"/>
  <c r="J29" i="87"/>
  <c r="I29" i="87"/>
  <c r="H29" i="87"/>
  <c r="G29" i="87"/>
  <c r="F29" i="87"/>
  <c r="E29" i="87"/>
  <c r="J28" i="87"/>
  <c r="I28" i="87"/>
  <c r="H28" i="87"/>
  <c r="G28" i="87"/>
  <c r="F28" i="87"/>
  <c r="E28" i="87"/>
  <c r="J27" i="87"/>
  <c r="I27" i="87"/>
  <c r="H27" i="87"/>
  <c r="G27" i="87"/>
  <c r="F27" i="87"/>
  <c r="E27" i="87"/>
  <c r="J26" i="87"/>
  <c r="I26" i="87"/>
  <c r="H26" i="87"/>
  <c r="G26" i="87"/>
  <c r="F26" i="87"/>
  <c r="E26" i="87"/>
  <c r="J25" i="87"/>
  <c r="I25" i="87"/>
  <c r="H25" i="87"/>
  <c r="G25" i="87"/>
  <c r="F25" i="87"/>
  <c r="E25" i="87"/>
  <c r="J24" i="87"/>
  <c r="I24" i="87"/>
  <c r="H24" i="87"/>
  <c r="G24" i="87"/>
  <c r="F24" i="87"/>
  <c r="E24" i="87"/>
  <c r="J23" i="87"/>
  <c r="I23" i="87"/>
  <c r="H23" i="87"/>
  <c r="G23" i="87"/>
  <c r="F23" i="87"/>
  <c r="E23" i="87"/>
  <c r="J22" i="87"/>
  <c r="I22" i="87"/>
  <c r="H22" i="87"/>
  <c r="G22" i="87"/>
  <c r="F22" i="87"/>
  <c r="E22" i="87"/>
  <c r="J21" i="87"/>
  <c r="I21" i="87"/>
  <c r="H21" i="87"/>
  <c r="G21" i="87"/>
  <c r="F21" i="87"/>
  <c r="E21" i="87"/>
  <c r="J20" i="87"/>
  <c r="I20" i="87"/>
  <c r="H20" i="87"/>
  <c r="G20" i="87"/>
  <c r="F20" i="87"/>
  <c r="E20" i="87"/>
  <c r="J19" i="87"/>
  <c r="I19" i="87"/>
  <c r="H19" i="87"/>
  <c r="G19" i="87"/>
  <c r="F19" i="87"/>
  <c r="J16" i="87"/>
  <c r="I16" i="87"/>
  <c r="H16" i="87"/>
  <c r="G16" i="87"/>
  <c r="F16" i="87"/>
  <c r="E16" i="87"/>
  <c r="K16" i="87" s="1"/>
  <c r="E15" i="87"/>
  <c r="E14" i="87"/>
  <c r="E13" i="87"/>
  <c r="E10" i="87"/>
  <c r="L2" i="86"/>
  <c r="B75" i="86"/>
  <c r="B74" i="86"/>
  <c r="I71" i="86"/>
  <c r="F71" i="86"/>
  <c r="I70" i="86"/>
  <c r="F70" i="86"/>
  <c r="K69" i="86"/>
  <c r="I66" i="86"/>
  <c r="H66" i="86"/>
  <c r="K55" i="86"/>
  <c r="J55" i="86"/>
  <c r="I55" i="86"/>
  <c r="C55" i="86"/>
  <c r="K54" i="86"/>
  <c r="J54" i="86"/>
  <c r="I54" i="86"/>
  <c r="C54" i="86"/>
  <c r="K53" i="86"/>
  <c r="J53" i="86"/>
  <c r="I53" i="86"/>
  <c r="C53" i="86"/>
  <c r="K52" i="86"/>
  <c r="J52" i="86"/>
  <c r="I52" i="86"/>
  <c r="C52" i="86"/>
  <c r="K51" i="86"/>
  <c r="J51" i="86"/>
  <c r="I51" i="86"/>
  <c r="C51" i="86"/>
  <c r="K50" i="86"/>
  <c r="J50" i="86"/>
  <c r="I50" i="86"/>
  <c r="C50" i="86"/>
  <c r="K49" i="86"/>
  <c r="J49" i="86"/>
  <c r="I49" i="86"/>
  <c r="C49" i="86"/>
  <c r="K48" i="86"/>
  <c r="J48" i="86"/>
  <c r="I48" i="86"/>
  <c r="C48" i="86"/>
  <c r="K47" i="86"/>
  <c r="J47" i="86"/>
  <c r="I47" i="86"/>
  <c r="C47" i="86"/>
  <c r="K46" i="86"/>
  <c r="J46" i="86"/>
  <c r="I46" i="86"/>
  <c r="C46" i="86"/>
  <c r="K45" i="86"/>
  <c r="J45" i="86"/>
  <c r="I45" i="86"/>
  <c r="C45" i="86"/>
  <c r="K44" i="86"/>
  <c r="J44" i="86"/>
  <c r="I44" i="86"/>
  <c r="C44" i="86"/>
  <c r="K43" i="86"/>
  <c r="J43" i="86"/>
  <c r="I43" i="86"/>
  <c r="C43" i="86"/>
  <c r="K42" i="86"/>
  <c r="J42" i="86"/>
  <c r="I42" i="86"/>
  <c r="C42" i="86"/>
  <c r="K41" i="86"/>
  <c r="J41" i="86"/>
  <c r="I41" i="86"/>
  <c r="C41" i="86"/>
  <c r="K40" i="86"/>
  <c r="J40" i="86"/>
  <c r="I40" i="86"/>
  <c r="C40" i="86"/>
  <c r="I39" i="86"/>
  <c r="C39" i="86"/>
  <c r="I38" i="86"/>
  <c r="C38" i="86"/>
  <c r="I37" i="86"/>
  <c r="C37" i="86"/>
  <c r="J31" i="86"/>
  <c r="I31" i="86"/>
  <c r="H31" i="86"/>
  <c r="G31" i="86"/>
  <c r="F31" i="86"/>
  <c r="E31" i="86"/>
  <c r="J30" i="86"/>
  <c r="I30" i="86"/>
  <c r="H30" i="86"/>
  <c r="G30" i="86"/>
  <c r="F30" i="86"/>
  <c r="E30" i="86"/>
  <c r="J29" i="86"/>
  <c r="I29" i="86"/>
  <c r="H29" i="86"/>
  <c r="G29" i="86"/>
  <c r="F29" i="86"/>
  <c r="E29" i="86"/>
  <c r="J28" i="86"/>
  <c r="I28" i="86"/>
  <c r="H28" i="86"/>
  <c r="G28" i="86"/>
  <c r="F28" i="86"/>
  <c r="E28" i="86"/>
  <c r="J27" i="86"/>
  <c r="I27" i="86"/>
  <c r="H27" i="86"/>
  <c r="G27" i="86"/>
  <c r="F27" i="86"/>
  <c r="E27" i="86"/>
  <c r="J26" i="86"/>
  <c r="I26" i="86"/>
  <c r="H26" i="86"/>
  <c r="G26" i="86"/>
  <c r="F26" i="86"/>
  <c r="E26" i="86"/>
  <c r="J25" i="86"/>
  <c r="I25" i="86"/>
  <c r="H25" i="86"/>
  <c r="G25" i="86"/>
  <c r="F25" i="86"/>
  <c r="E25" i="86"/>
  <c r="J24" i="86"/>
  <c r="I24" i="86"/>
  <c r="H24" i="86"/>
  <c r="G24" i="86"/>
  <c r="F24" i="86"/>
  <c r="E24" i="86"/>
  <c r="J23" i="86"/>
  <c r="I23" i="86"/>
  <c r="H23" i="86"/>
  <c r="G23" i="86"/>
  <c r="F23" i="86"/>
  <c r="E23" i="86"/>
  <c r="J22" i="86"/>
  <c r="I22" i="86"/>
  <c r="H22" i="86"/>
  <c r="G22" i="86"/>
  <c r="F22" i="86"/>
  <c r="E22" i="86"/>
  <c r="J21" i="86"/>
  <c r="I21" i="86"/>
  <c r="H21" i="86"/>
  <c r="G21" i="86"/>
  <c r="F21" i="86"/>
  <c r="E21" i="86"/>
  <c r="J20" i="86"/>
  <c r="I20" i="86"/>
  <c r="H20" i="86"/>
  <c r="G20" i="86"/>
  <c r="F20" i="86"/>
  <c r="E20" i="86"/>
  <c r="J19" i="86"/>
  <c r="I19" i="86"/>
  <c r="H19" i="86"/>
  <c r="G19" i="86"/>
  <c r="F19" i="86"/>
  <c r="J18" i="86"/>
  <c r="I18" i="86"/>
  <c r="H18" i="86"/>
  <c r="G18" i="86"/>
  <c r="F18" i="86"/>
  <c r="E18" i="86"/>
  <c r="J17" i="86"/>
  <c r="I17" i="86"/>
  <c r="H17" i="86"/>
  <c r="G17" i="86"/>
  <c r="F17" i="86"/>
  <c r="E17" i="86"/>
  <c r="J16" i="86"/>
  <c r="I16" i="86"/>
  <c r="H16" i="86"/>
  <c r="G16" i="86"/>
  <c r="F16" i="86"/>
  <c r="E16" i="86"/>
  <c r="E13" i="86"/>
  <c r="E10" i="86"/>
  <c r="L2" i="85"/>
  <c r="I71" i="85"/>
  <c r="F71" i="85"/>
  <c r="I70" i="85"/>
  <c r="F70" i="85"/>
  <c r="K69" i="85"/>
  <c r="I66" i="85"/>
  <c r="H66" i="85"/>
  <c r="K55" i="85"/>
  <c r="K54" i="85"/>
  <c r="K53" i="85"/>
  <c r="K52" i="85"/>
  <c r="K51" i="85"/>
  <c r="K50" i="85"/>
  <c r="K49" i="85"/>
  <c r="K48" i="85"/>
  <c r="K47" i="85"/>
  <c r="K46" i="85"/>
  <c r="K45" i="85"/>
  <c r="K44" i="85"/>
  <c r="K43" i="85"/>
  <c r="K42" i="85"/>
  <c r="K41" i="85"/>
  <c r="K40" i="85"/>
  <c r="I38" i="85"/>
  <c r="C38" i="85"/>
  <c r="I37" i="85"/>
  <c r="C37" i="85"/>
  <c r="J31" i="85"/>
  <c r="I31" i="85"/>
  <c r="H31" i="85"/>
  <c r="G31" i="85"/>
  <c r="F31" i="85"/>
  <c r="E31" i="85"/>
  <c r="J30" i="85"/>
  <c r="I30" i="85"/>
  <c r="H30" i="85"/>
  <c r="G30" i="85"/>
  <c r="F30" i="85"/>
  <c r="E30" i="85"/>
  <c r="J29" i="85"/>
  <c r="I29" i="85"/>
  <c r="H29" i="85"/>
  <c r="G29" i="85"/>
  <c r="F29" i="85"/>
  <c r="E29" i="85"/>
  <c r="J28" i="85"/>
  <c r="I28" i="85"/>
  <c r="H28" i="85"/>
  <c r="G28" i="85"/>
  <c r="F28" i="85"/>
  <c r="E28" i="85"/>
  <c r="J27" i="85"/>
  <c r="I27" i="85"/>
  <c r="H27" i="85"/>
  <c r="G27" i="85"/>
  <c r="F27" i="85"/>
  <c r="E27" i="85"/>
  <c r="J26" i="85"/>
  <c r="I26" i="85"/>
  <c r="H26" i="85"/>
  <c r="G26" i="85"/>
  <c r="F26" i="85"/>
  <c r="E26" i="85"/>
  <c r="J25" i="85"/>
  <c r="I25" i="85"/>
  <c r="H25" i="85"/>
  <c r="G25" i="85"/>
  <c r="F25" i="85"/>
  <c r="E25" i="85"/>
  <c r="J24" i="85"/>
  <c r="I24" i="85"/>
  <c r="H24" i="85"/>
  <c r="G24" i="85"/>
  <c r="F24" i="85"/>
  <c r="E24" i="85"/>
  <c r="J23" i="85"/>
  <c r="I23" i="85"/>
  <c r="H23" i="85"/>
  <c r="G23" i="85"/>
  <c r="F23" i="85"/>
  <c r="E23" i="85"/>
  <c r="J22" i="85"/>
  <c r="I22" i="85"/>
  <c r="H22" i="85"/>
  <c r="G22" i="85"/>
  <c r="F22" i="85"/>
  <c r="E22" i="85"/>
  <c r="J21" i="85"/>
  <c r="I21" i="85"/>
  <c r="H21" i="85"/>
  <c r="G21" i="85"/>
  <c r="F21" i="85"/>
  <c r="E21" i="85"/>
  <c r="J20" i="85"/>
  <c r="I20" i="85"/>
  <c r="H20" i="85"/>
  <c r="G20" i="85"/>
  <c r="F20" i="85"/>
  <c r="E20" i="85"/>
  <c r="J19" i="85"/>
  <c r="I19" i="85"/>
  <c r="H19" i="85"/>
  <c r="G19" i="85"/>
  <c r="F19" i="85"/>
  <c r="J18" i="85"/>
  <c r="I18" i="85"/>
  <c r="H18" i="85"/>
  <c r="G18" i="85"/>
  <c r="F18" i="85"/>
  <c r="E18" i="85"/>
  <c r="E15" i="85"/>
  <c r="E14" i="85"/>
  <c r="E13" i="85"/>
  <c r="E10" i="85"/>
  <c r="E33" i="89" l="1"/>
  <c r="E33" i="87"/>
  <c r="K19" i="88"/>
  <c r="K13" i="88"/>
  <c r="K14" i="88"/>
  <c r="K15" i="88"/>
  <c r="K16" i="88"/>
  <c r="K17" i="88"/>
  <c r="K18" i="88"/>
  <c r="K20" i="88"/>
  <c r="K21" i="88"/>
  <c r="K22" i="88"/>
  <c r="E14" i="86"/>
  <c r="E33" i="86" s="1"/>
  <c r="E17" i="90"/>
  <c r="E33" i="90" s="1"/>
  <c r="K70" i="89"/>
  <c r="K71" i="89"/>
  <c r="K70" i="90"/>
  <c r="K71" i="90"/>
  <c r="K70" i="85"/>
  <c r="K71" i="85"/>
  <c r="K70" i="86"/>
  <c r="K71" i="86"/>
  <c r="K70" i="88"/>
  <c r="K71" i="88"/>
  <c r="K70" i="87"/>
  <c r="K71" i="87"/>
  <c r="K19" i="87"/>
  <c r="K20" i="87"/>
  <c r="K21" i="87"/>
  <c r="K22" i="87"/>
  <c r="K23" i="87"/>
  <c r="K24" i="87"/>
  <c r="K25" i="87"/>
  <c r="K26" i="87"/>
  <c r="K27" i="87"/>
  <c r="K28" i="87"/>
  <c r="K29" i="87"/>
  <c r="K30" i="87"/>
  <c r="K31" i="87"/>
  <c r="K21" i="89"/>
  <c r="K22" i="89"/>
  <c r="K23" i="89"/>
  <c r="K24" i="89"/>
  <c r="K25" i="89"/>
  <c r="K26" i="89"/>
  <c r="K27" i="89"/>
  <c r="K28" i="89"/>
  <c r="K29" i="89"/>
  <c r="K30" i="89"/>
  <c r="K31" i="89"/>
  <c r="K19" i="90"/>
  <c r="K20" i="90"/>
  <c r="K21" i="90"/>
  <c r="K22" i="90"/>
  <c r="K23" i="90"/>
  <c r="K24" i="90"/>
  <c r="K25" i="90"/>
  <c r="K26" i="90"/>
  <c r="K27" i="90"/>
  <c r="K28" i="90"/>
  <c r="K29" i="90"/>
  <c r="K30" i="90"/>
  <c r="K31" i="90"/>
  <c r="K18" i="85"/>
  <c r="K19" i="85"/>
  <c r="K20" i="85"/>
  <c r="K21" i="85"/>
  <c r="K22" i="85"/>
  <c r="K23" i="85"/>
  <c r="K24" i="85"/>
  <c r="K25" i="85"/>
  <c r="K26" i="85"/>
  <c r="K27" i="85"/>
  <c r="K28" i="85"/>
  <c r="K29" i="85"/>
  <c r="K30" i="85"/>
  <c r="K31" i="85"/>
  <c r="K23" i="88"/>
  <c r="K24" i="88"/>
  <c r="K25" i="88"/>
  <c r="K26" i="88"/>
  <c r="K27" i="88"/>
  <c r="K28" i="88"/>
  <c r="K29" i="88"/>
  <c r="K30" i="88"/>
  <c r="K31" i="88"/>
  <c r="K18" i="86"/>
  <c r="K19" i="86"/>
  <c r="K20" i="86"/>
  <c r="K21" i="86"/>
  <c r="K22" i="86"/>
  <c r="K23" i="86"/>
  <c r="K24" i="86"/>
  <c r="K25" i="86"/>
  <c r="K26" i="86"/>
  <c r="K27" i="86"/>
  <c r="K28" i="86"/>
  <c r="K29" i="86"/>
  <c r="K30" i="86"/>
  <c r="K31" i="86"/>
  <c r="K16" i="86"/>
  <c r="K17" i="86"/>
  <c r="H90" i="2"/>
  <c r="H108" i="2"/>
  <c r="H92" i="2"/>
  <c r="H115" i="2"/>
  <c r="H73" i="2"/>
  <c r="H116" i="2"/>
  <c r="H77" i="2"/>
  <c r="H4" i="2"/>
  <c r="H89" i="2"/>
  <c r="H68" i="2"/>
  <c r="H38" i="2"/>
  <c r="H54" i="2"/>
  <c r="H85" i="2"/>
  <c r="H9" i="2"/>
  <c r="H19" i="2"/>
  <c r="H32" i="2"/>
  <c r="H87" i="2"/>
  <c r="H107" i="2"/>
  <c r="H69" i="2"/>
  <c r="H21" i="2"/>
  <c r="B7" i="49"/>
  <c r="H53" i="2"/>
  <c r="H63" i="2"/>
  <c r="H52" i="2"/>
  <c r="H83" i="2"/>
  <c r="H117" i="2"/>
  <c r="H123" i="2"/>
  <c r="H50" i="2"/>
  <c r="H66" i="2"/>
  <c r="H119" i="2"/>
  <c r="H59" i="2"/>
  <c r="H27" i="2"/>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2" i="1" l="1"/>
  <c r="Q2" i="1"/>
  <c r="J40" i="133"/>
  <c r="K40" i="133" s="1"/>
  <c r="J40" i="132"/>
  <c r="K40" i="132" s="1"/>
  <c r="J42" i="132"/>
  <c r="K42" i="132" s="1"/>
  <c r="F17" i="132"/>
  <c r="F13" i="132"/>
  <c r="F14" i="133"/>
  <c r="F16" i="132"/>
  <c r="F12" i="132"/>
  <c r="F13" i="133"/>
  <c r="F15" i="132"/>
  <c r="F12" i="133"/>
  <c r="F14" i="132"/>
  <c r="J41" i="132"/>
  <c r="K41" i="132" s="1"/>
  <c r="J37" i="132"/>
  <c r="K37" i="132" s="1"/>
  <c r="J9" i="48"/>
  <c r="K9" i="48"/>
  <c r="E12" i="88"/>
  <c r="E33" i="88" s="1"/>
  <c r="E16" i="85"/>
  <c r="E33" i="85" s="1"/>
  <c r="F18" i="90"/>
  <c r="F14" i="86"/>
  <c r="F17" i="87"/>
  <c r="F18" i="87"/>
  <c r="F18" i="89"/>
  <c r="F17" i="89"/>
  <c r="F16" i="89"/>
  <c r="F15" i="89"/>
  <c r="F14" i="89"/>
  <c r="F13" i="89"/>
  <c r="F12" i="89"/>
  <c r="F12" i="88"/>
  <c r="F33" i="88" s="1"/>
  <c r="F15" i="85"/>
  <c r="F14" i="85"/>
  <c r="F13" i="85"/>
  <c r="F12" i="85"/>
  <c r="F16" i="85"/>
  <c r="F17" i="85"/>
  <c r="F16" i="90"/>
  <c r="F15" i="90"/>
  <c r="F14" i="90"/>
  <c r="F13" i="90"/>
  <c r="F12" i="90"/>
  <c r="F19" i="89"/>
  <c r="F15" i="87"/>
  <c r="F14" i="87"/>
  <c r="F13" i="87"/>
  <c r="F12" i="87"/>
  <c r="F13" i="86"/>
  <c r="F12" i="86"/>
  <c r="F15" i="86"/>
  <c r="F17" i="90"/>
  <c r="H18" i="90"/>
  <c r="H15" i="86"/>
  <c r="L7" i="48"/>
  <c r="K7" i="48"/>
  <c r="O7" i="48" s="1"/>
  <c r="J8" i="48"/>
  <c r="K8" i="48"/>
  <c r="M8" i="48" s="1"/>
  <c r="O2" i="48"/>
  <c r="J4" i="48"/>
  <c r="R2" i="1"/>
  <c r="U2" i="1" s="1"/>
  <c r="H15" i="85"/>
  <c r="J6" i="48"/>
  <c r="J3" i="48"/>
  <c r="J5" i="48"/>
  <c r="J2" i="48"/>
  <c r="K6" i="48"/>
  <c r="M6" i="48" s="1"/>
  <c r="K4" i="48"/>
  <c r="M4" i="48" s="1"/>
  <c r="K5" i="48"/>
  <c r="M5" i="48" s="1"/>
  <c r="K3" i="48"/>
  <c r="M3" i="48" s="1"/>
  <c r="L2" i="48"/>
  <c r="M2" i="48" s="1"/>
  <c r="H11" i="2"/>
  <c r="H22" i="2"/>
  <c r="H62" i="2"/>
  <c r="H112" i="2"/>
  <c r="H86" i="2"/>
  <c r="H113" i="2"/>
  <c r="H24" i="2"/>
  <c r="H12" i="2"/>
  <c r="AO2" i="1"/>
  <c r="AO3" i="1"/>
  <c r="AO4" i="1"/>
  <c r="AO5" i="1"/>
  <c r="AO6" i="1"/>
  <c r="AO7" i="1"/>
  <c r="AO8" i="1"/>
  <c r="AO10" i="1"/>
  <c r="AO11" i="1"/>
  <c r="AO9" i="1"/>
  <c r="M9" i="48"/>
  <c r="M10" i="48"/>
  <c r="P10" i="48" s="1"/>
  <c r="M11" i="48"/>
  <c r="P11" i="48" s="1"/>
  <c r="M12" i="48"/>
  <c r="P12" i="48" s="1"/>
  <c r="J42" i="133" l="1"/>
  <c r="K42" i="133" s="1"/>
  <c r="H12" i="133"/>
  <c r="H14" i="133"/>
  <c r="F33" i="133"/>
  <c r="G13" i="133"/>
  <c r="G12" i="133"/>
  <c r="F33" i="132"/>
  <c r="H13" i="133"/>
  <c r="H13" i="132"/>
  <c r="G17" i="132"/>
  <c r="G14" i="133"/>
  <c r="H14" i="132"/>
  <c r="H18" i="89"/>
  <c r="H16" i="132"/>
  <c r="G16" i="132"/>
  <c r="H17" i="132"/>
  <c r="H15" i="132"/>
  <c r="H12" i="132"/>
  <c r="G14" i="132"/>
  <c r="G13" i="132"/>
  <c r="G15" i="132"/>
  <c r="G12" i="132"/>
  <c r="H18" i="87"/>
  <c r="H14" i="85"/>
  <c r="H16" i="85"/>
  <c r="H12" i="88"/>
  <c r="H33" i="88" s="1"/>
  <c r="P2" i="48"/>
  <c r="O9" i="48"/>
  <c r="N9" i="48"/>
  <c r="N7" i="48"/>
  <c r="F33" i="87"/>
  <c r="F33" i="90"/>
  <c r="F33" i="85"/>
  <c r="F33" i="86"/>
  <c r="F33" i="89"/>
  <c r="H17" i="87"/>
  <c r="H17" i="90"/>
  <c r="H14" i="86"/>
  <c r="G17" i="90"/>
  <c r="G14" i="86"/>
  <c r="G17" i="85"/>
  <c r="G17" i="87"/>
  <c r="G18" i="90"/>
  <c r="G15" i="86"/>
  <c r="G18" i="87"/>
  <c r="I17" i="87"/>
  <c r="G16" i="90"/>
  <c r="G16" i="85"/>
  <c r="H17" i="85"/>
  <c r="H14" i="89"/>
  <c r="H13" i="89"/>
  <c r="G19" i="89"/>
  <c r="H14" i="90"/>
  <c r="G15" i="90"/>
  <c r="H16" i="89"/>
  <c r="H15" i="90"/>
  <c r="G14" i="90"/>
  <c r="G13" i="90"/>
  <c r="G12" i="90"/>
  <c r="H13" i="86"/>
  <c r="H16" i="90"/>
  <c r="H12" i="85"/>
  <c r="H12" i="90"/>
  <c r="H15" i="89"/>
  <c r="H13" i="90"/>
  <c r="G17" i="89"/>
  <c r="G16" i="89"/>
  <c r="G12" i="89"/>
  <c r="G13" i="86"/>
  <c r="G18" i="89"/>
  <c r="H14" i="87"/>
  <c r="H17" i="89"/>
  <c r="H12" i="89"/>
  <c r="G15" i="89"/>
  <c r="G14" i="89"/>
  <c r="G13" i="89"/>
  <c r="H15" i="87"/>
  <c r="H19" i="89"/>
  <c r="G12" i="88"/>
  <c r="G15" i="87"/>
  <c r="G14" i="87"/>
  <c r="G13" i="87"/>
  <c r="G12" i="87"/>
  <c r="H13" i="87"/>
  <c r="H12" i="87"/>
  <c r="G12" i="86"/>
  <c r="H12" i="86"/>
  <c r="G15" i="85"/>
  <c r="G14" i="85"/>
  <c r="G13" i="85"/>
  <c r="G12" i="85"/>
  <c r="H13" i="85"/>
  <c r="M7" i="48"/>
  <c r="N8" i="48"/>
  <c r="O8" i="48"/>
  <c r="N3" i="48"/>
  <c r="O3" i="48"/>
  <c r="N4" i="48"/>
  <c r="O4" i="48"/>
  <c r="N5" i="48"/>
  <c r="O5" i="48"/>
  <c r="N6" i="48"/>
  <c r="O6" i="48"/>
  <c r="H127" i="2"/>
  <c r="H5" i="2"/>
  <c r="J43" i="132" s="1"/>
  <c r="K43" i="132" s="1"/>
  <c r="H120" i="2"/>
  <c r="H14" i="2"/>
  <c r="H121" i="2"/>
  <c r="H28" i="2"/>
  <c r="H29" i="2"/>
  <c r="H34" i="2"/>
  <c r="H23" i="2"/>
  <c r="H6" i="2"/>
  <c r="H44" i="2"/>
  <c r="H17" i="2"/>
  <c r="H45" i="2"/>
  <c r="H2" i="2"/>
  <c r="H51" i="2"/>
  <c r="H33" i="2"/>
  <c r="H72" i="2"/>
  <c r="H65" i="2"/>
  <c r="H47" i="2"/>
  <c r="H7" i="2"/>
  <c r="H18" i="2"/>
  <c r="H98" i="2"/>
  <c r="H76" i="2"/>
  <c r="H78" i="2"/>
  <c r="H57" i="2"/>
  <c r="H80" i="2"/>
  <c r="H96" i="2"/>
  <c r="H97" i="2"/>
  <c r="H84" i="2"/>
  <c r="H103" i="2"/>
  <c r="H105" i="2"/>
  <c r="H110" i="2"/>
  <c r="H48" i="2"/>
  <c r="H31" i="2"/>
  <c r="H58" i="2"/>
  <c r="H60" i="2"/>
  <c r="H3" i="2"/>
  <c r="H61" i="2"/>
  <c r="H25" i="2"/>
  <c r="H111" i="2"/>
  <c r="H104" i="2"/>
  <c r="H95" i="2"/>
  <c r="H46" i="2"/>
  <c r="H20" i="2"/>
  <c r="H99" i="2"/>
  <c r="H30" i="2"/>
  <c r="H10" i="2"/>
  <c r="H70" i="2"/>
  <c r="H75" i="2"/>
  <c r="H88" i="2"/>
  <c r="H125" i="2"/>
  <c r="H100" i="2"/>
  <c r="H41" i="2"/>
  <c r="H56" i="2"/>
  <c r="H49" i="2"/>
  <c r="H67" i="2"/>
  <c r="H94" i="2"/>
  <c r="J38" i="90" s="1"/>
  <c r="K38" i="90" s="1"/>
  <c r="H74" i="2"/>
  <c r="H118" i="2"/>
  <c r="H8" i="2"/>
  <c r="H64" i="2"/>
  <c r="H122" i="2"/>
  <c r="H26" i="2"/>
  <c r="H35" i="2"/>
  <c r="H36" i="2"/>
  <c r="H37" i="2"/>
  <c r="H15" i="2"/>
  <c r="H101" i="2"/>
  <c r="H40" i="2"/>
  <c r="H82" i="2"/>
  <c r="H13" i="2"/>
  <c r="J38" i="85" l="1"/>
  <c r="K38" i="85" s="1"/>
  <c r="H33" i="133"/>
  <c r="J38" i="132"/>
  <c r="K38" i="132" s="1"/>
  <c r="J39" i="132"/>
  <c r="K39" i="132" s="1"/>
  <c r="J45" i="132"/>
  <c r="K45" i="132" s="1"/>
  <c r="J41" i="133"/>
  <c r="K41" i="133" s="1"/>
  <c r="K63" i="133" s="1"/>
  <c r="J44" i="132"/>
  <c r="K44" i="132" s="1"/>
  <c r="G33" i="133"/>
  <c r="G33" i="132"/>
  <c r="H33" i="132"/>
  <c r="J18" i="87"/>
  <c r="J18" i="90"/>
  <c r="P7" i="48"/>
  <c r="J40" i="89"/>
  <c r="K40" i="89" s="1"/>
  <c r="J43" i="89"/>
  <c r="K43" i="89" s="1"/>
  <c r="J44" i="89"/>
  <c r="K44" i="89" s="1"/>
  <c r="J42" i="89"/>
  <c r="K42" i="89" s="1"/>
  <c r="J41" i="89"/>
  <c r="K41" i="89" s="1"/>
  <c r="H33" i="86"/>
  <c r="P9" i="48"/>
  <c r="J40" i="87"/>
  <c r="K40" i="87" s="1"/>
  <c r="J40" i="88"/>
  <c r="K40" i="88" s="1"/>
  <c r="J37" i="85"/>
  <c r="K37" i="85" s="1"/>
  <c r="J38" i="87"/>
  <c r="K38" i="87" s="1"/>
  <c r="J37" i="89"/>
  <c r="K37" i="89" s="1"/>
  <c r="J37" i="90"/>
  <c r="K37" i="90" s="1"/>
  <c r="J39" i="89"/>
  <c r="K39" i="89" s="1"/>
  <c r="J37" i="88"/>
  <c r="K37" i="88" s="1"/>
  <c r="J37" i="87"/>
  <c r="K37" i="87" s="1"/>
  <c r="J41" i="87"/>
  <c r="K41" i="87" s="1"/>
  <c r="K39" i="85"/>
  <c r="J38" i="86"/>
  <c r="K38" i="86" s="1"/>
  <c r="J39" i="87"/>
  <c r="K39" i="87" s="1"/>
  <c r="J39" i="90"/>
  <c r="K39" i="90" s="1"/>
  <c r="J39" i="86"/>
  <c r="K39" i="86" s="1"/>
  <c r="J44" i="87"/>
  <c r="K44" i="87" s="1"/>
  <c r="J42" i="87"/>
  <c r="K42" i="87" s="1"/>
  <c r="J38" i="88"/>
  <c r="K38" i="88" s="1"/>
  <c r="J39" i="88"/>
  <c r="K39" i="88" s="1"/>
  <c r="J38" i="89"/>
  <c r="K38" i="89" s="1"/>
  <c r="J37" i="86"/>
  <c r="K37" i="86" s="1"/>
  <c r="J43" i="87"/>
  <c r="K43" i="87" s="1"/>
  <c r="G33" i="90"/>
  <c r="H33" i="90"/>
  <c r="H33" i="85"/>
  <c r="H33" i="87"/>
  <c r="G33" i="89"/>
  <c r="H33" i="89"/>
  <c r="G33" i="88"/>
  <c r="G33" i="87"/>
  <c r="G33" i="86"/>
  <c r="G33" i="85"/>
  <c r="P3" i="48"/>
  <c r="P6" i="48"/>
  <c r="P5" i="48"/>
  <c r="P8" i="48"/>
  <c r="P4" i="48"/>
  <c r="J15" i="85"/>
  <c r="E66" i="133" l="1"/>
  <c r="K66" i="133" s="1"/>
  <c r="J12" i="133"/>
  <c r="I12" i="133"/>
  <c r="I13" i="132"/>
  <c r="I14" i="132"/>
  <c r="J14" i="133"/>
  <c r="K63" i="132"/>
  <c r="E66" i="132" s="1"/>
  <c r="K66" i="132" s="1"/>
  <c r="I13" i="133"/>
  <c r="J13" i="132"/>
  <c r="J13" i="133"/>
  <c r="I17" i="132"/>
  <c r="I14" i="133"/>
  <c r="J14" i="132"/>
  <c r="I16" i="132"/>
  <c r="J17" i="132"/>
  <c r="J18" i="89"/>
  <c r="J16" i="132"/>
  <c r="J12" i="132"/>
  <c r="J15" i="132"/>
  <c r="I15" i="132"/>
  <c r="I12" i="132"/>
  <c r="J15" i="86"/>
  <c r="K63" i="85"/>
  <c r="E66" i="85" s="1"/>
  <c r="K66" i="85" s="1"/>
  <c r="J14" i="85"/>
  <c r="I17" i="90"/>
  <c r="I17" i="85"/>
  <c r="I18" i="90"/>
  <c r="K18" i="90" s="1"/>
  <c r="I15" i="90"/>
  <c r="I16" i="89"/>
  <c r="I14" i="87"/>
  <c r="I15" i="85"/>
  <c r="K15" i="85" s="1"/>
  <c r="I14" i="86"/>
  <c r="I15" i="86"/>
  <c r="I17" i="89"/>
  <c r="I12" i="89"/>
  <c r="I12" i="86"/>
  <c r="I14" i="85"/>
  <c r="K63" i="87"/>
  <c r="E66" i="87" s="1"/>
  <c r="K66" i="87" s="1"/>
  <c r="K63" i="86"/>
  <c r="E66" i="86" s="1"/>
  <c r="K66" i="86" s="1"/>
  <c r="K63" i="90"/>
  <c r="E66" i="90" s="1"/>
  <c r="K66" i="90" s="1"/>
  <c r="K63" i="89"/>
  <c r="E66" i="89" s="1"/>
  <c r="K66" i="89" s="1"/>
  <c r="K63" i="88"/>
  <c r="E66" i="88" s="1"/>
  <c r="K66" i="88" s="1"/>
  <c r="J17" i="87"/>
  <c r="K17" i="87" s="1"/>
  <c r="I16" i="85"/>
  <c r="I18" i="87"/>
  <c r="K18" i="87" s="1"/>
  <c r="J17" i="85"/>
  <c r="J16" i="85"/>
  <c r="I16" i="90"/>
  <c r="J14" i="89"/>
  <c r="J13" i="89"/>
  <c r="J14" i="90"/>
  <c r="I19" i="89"/>
  <c r="J15" i="89"/>
  <c r="J13" i="90"/>
  <c r="J12" i="85"/>
  <c r="J12" i="90"/>
  <c r="I14" i="90"/>
  <c r="I13" i="90"/>
  <c r="I12" i="90"/>
  <c r="J16" i="89"/>
  <c r="J15" i="90"/>
  <c r="J13" i="86"/>
  <c r="J16" i="90"/>
  <c r="I13" i="86"/>
  <c r="I18" i="89"/>
  <c r="J15" i="87"/>
  <c r="J19" i="89"/>
  <c r="J14" i="87"/>
  <c r="J17" i="89"/>
  <c r="J12" i="89"/>
  <c r="I15" i="89"/>
  <c r="I14" i="89"/>
  <c r="I13" i="89"/>
  <c r="J12" i="88"/>
  <c r="J33" i="88" s="1"/>
  <c r="I12" i="88"/>
  <c r="J13" i="87"/>
  <c r="J12" i="87"/>
  <c r="I13" i="87"/>
  <c r="I12" i="87"/>
  <c r="I15" i="87"/>
  <c r="J12" i="86"/>
  <c r="I13" i="85"/>
  <c r="I12" i="85"/>
  <c r="J13" i="85"/>
  <c r="K12" i="133" l="1"/>
  <c r="K75" i="133"/>
  <c r="K13" i="132"/>
  <c r="K14" i="132"/>
  <c r="K14" i="133"/>
  <c r="K13" i="133"/>
  <c r="K17" i="132"/>
  <c r="K16" i="132"/>
  <c r="J33" i="133"/>
  <c r="I33" i="133"/>
  <c r="K15" i="132"/>
  <c r="K18" i="89"/>
  <c r="I33" i="132"/>
  <c r="K12" i="132"/>
  <c r="J33" i="132"/>
  <c r="K15" i="86"/>
  <c r="K14" i="85"/>
  <c r="J17" i="90"/>
  <c r="K17" i="90" s="1"/>
  <c r="K14" i="87"/>
  <c r="K13" i="86"/>
  <c r="K14" i="89"/>
  <c r="K16" i="89"/>
  <c r="K17" i="85"/>
  <c r="K13" i="90"/>
  <c r="K15" i="90"/>
  <c r="K14" i="90"/>
  <c r="K19" i="89"/>
  <c r="K15" i="89"/>
  <c r="K16" i="90"/>
  <c r="K17" i="89"/>
  <c r="J14" i="86"/>
  <c r="K14" i="86" s="1"/>
  <c r="K15" i="87"/>
  <c r="J33" i="87"/>
  <c r="K13" i="87"/>
  <c r="K16" i="85"/>
  <c r="I33" i="86"/>
  <c r="I33" i="90"/>
  <c r="K12" i="90"/>
  <c r="K13" i="89"/>
  <c r="I33" i="89"/>
  <c r="J33" i="89"/>
  <c r="K12" i="89"/>
  <c r="I33" i="88"/>
  <c r="K12" i="88"/>
  <c r="K33" i="88" s="1"/>
  <c r="I33" i="87"/>
  <c r="K12" i="87"/>
  <c r="K12" i="86"/>
  <c r="J33" i="85"/>
  <c r="I33" i="85"/>
  <c r="K12" i="85"/>
  <c r="K13" i="85"/>
  <c r="K75" i="87" l="1"/>
  <c r="K75" i="132"/>
  <c r="K75" i="90"/>
  <c r="K75" i="88"/>
  <c r="K75" i="86"/>
  <c r="K75" i="89"/>
  <c r="K65" i="88"/>
  <c r="K33" i="133"/>
  <c r="K33" i="132"/>
  <c r="J33" i="90"/>
  <c r="K33" i="86"/>
  <c r="J33" i="86"/>
  <c r="K33" i="90"/>
  <c r="K33" i="87"/>
  <c r="K33" i="89"/>
  <c r="K33" i="85"/>
  <c r="K67" i="88" l="1"/>
  <c r="K72" i="88" s="1"/>
  <c r="K74" i="88" s="1"/>
  <c r="K65" i="87"/>
  <c r="K67" i="87" s="1"/>
  <c r="K72" i="87" s="1"/>
  <c r="K74" i="87" s="1"/>
  <c r="K65" i="86"/>
  <c r="K67" i="86" s="1"/>
  <c r="K72" i="86" s="1"/>
  <c r="K74" i="86" s="1"/>
  <c r="K65" i="90"/>
  <c r="K67" i="90" s="1"/>
  <c r="K72" i="90" s="1"/>
  <c r="K74" i="90" s="1"/>
  <c r="K65" i="132"/>
  <c r="K67" i="132" s="1"/>
  <c r="K72" i="132" s="1"/>
  <c r="K74" i="132" s="1"/>
  <c r="K65" i="89"/>
  <c r="K67" i="89" s="1"/>
  <c r="K72" i="89" s="1"/>
  <c r="K74" i="89" s="1"/>
  <c r="K65" i="133"/>
  <c r="K67" i="133" s="1"/>
  <c r="K72" i="133" s="1"/>
  <c r="K74" i="133" s="1"/>
  <c r="K65" i="85"/>
  <c r="K67" i="85" s="1"/>
  <c r="K72" i="85"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<sst xmlns="http://schemas.openxmlformats.org/spreadsheetml/2006/main" count="1845" uniqueCount="590">
  <si>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</si>
  <si>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</si>
  <si>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</si>
  <si>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</si>
  <si>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</si>
  <si>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</si>
  <si>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</si>
  <si>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</si>
  <si>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</si>
  <si>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</si>
  <si>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</si>
  <si>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</si>
  <si>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</si>
  <si>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</si>
  <si>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</si>
  <si>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</si>
  <si>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</si>
  <si>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</si>
  <si>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</si>
  <si>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</si>
  <si>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</si>
  <si>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</si>
  <si>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</si>
  <si>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</si>
  <si>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</si>
  <si>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</si>
  <si>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</si>
  <si>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</si>
  <si>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</si>
  <si>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</si>
  <si>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</si>
  <si>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</si>
  <si>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</si>
  <si>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</si>
  <si>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</si>
  <si>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</si>
  <si>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</si>
  <si>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</si>
  <si>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</si>
  <si>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</si>
  <si>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</si>
  <si>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</si>
  <si>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</si>
  <si>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</si>
  <si>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</si>
  <si>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</si>
  <si>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</si>
  <si>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</si>
  <si>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</si>
  <si>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</si>
  <si>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</si>
  <si>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</si>
  <si>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</si>
  <si>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</si>
  <si>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</si>
  <si>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</si>
  <si>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</si>
  <si>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</si>
  <si>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</si>
  <si>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</si>
  <si>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</si>
  <si>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</si>
  <si>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</si>
  <si>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</si>
  <si>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</si>
  <si>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</si>
  <si>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</si>
  <si>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</si>
  <si>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</si>
  <si>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</si>
  <si>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</si>
  <si>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</si>
  <si>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</si>
  <si>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</si>
  <si>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</si>
  <si>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</si>
  <si>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</si>
  <si>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</si>
  <si>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</si>
  <si>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</si>
  <si>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</si>
  <si>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</si>
  <si>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</si>
  <si>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</si>
  <si>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</si>
  <si>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</si>
  <si>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</si>
  <si>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</si>
  <si>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Fall Establishment</t>
  </si>
  <si>
    <t>Grazing</t>
  </si>
  <si>
    <t>AUM</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</si>
  <si>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</si>
  <si>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</si>
  <si>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</si>
  <si>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</si>
  <si>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</si>
  <si>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</si>
  <si>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</si>
  <si>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</si>
  <si>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</si>
  <si>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</si>
  <si>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</si>
  <si>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</si>
  <si>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</si>
  <si>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</si>
  <si>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</si>
  <si>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</si>
  <si>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</si>
  <si>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</si>
  <si>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</si>
  <si>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</si>
  <si>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</si>
  <si>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</si>
  <si>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</si>
  <si>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</si>
  <si>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</si>
  <si>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</si>
  <si>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</si>
  <si>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</si>
  <si>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</si>
  <si>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</si>
  <si>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</si>
  <si>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</si>
  <si>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</si>
  <si>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</si>
  <si>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</si>
  <si>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</si>
  <si>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</si>
  <si>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</si>
  <si>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</si>
  <si>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</si>
  <si>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</si>
  <si>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</si>
  <si>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</si>
  <si>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</si>
  <si>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</si>
  <si>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</si>
  <si>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</si>
  <si>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</si>
  <si>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</si>
  <si>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</si>
  <si>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</si>
  <si>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</si>
  <si>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</si>
  <si>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</si>
  <si>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</si>
  <si>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</si>
  <si>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</si>
  <si>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</si>
  <si>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</si>
  <si>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</si>
  <si>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</si>
  <si>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</si>
  <si>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</si>
  <si>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</si>
  <si>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</si>
  <si>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</si>
  <si>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</si>
  <si>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</si>
  <si>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</si>
  <si>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</si>
  <si>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</si>
  <si>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</si>
  <si>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</si>
  <si>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</si>
  <si>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</si>
  <si>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</si>
  <si>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</si>
  <si>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</si>
  <si>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</si>
  <si>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</si>
  <si>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</si>
  <si>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</si>
  <si>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</si>
  <si>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</si>
  <si>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</si>
  <si>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</si>
  <si>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</si>
  <si>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</si>
  <si>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</si>
  <si>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</si>
  <si>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</si>
  <si>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</si>
  <si>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</si>
  <si>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</si>
  <si>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</si>
  <si>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</si>
  <si>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</si>
  <si>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</si>
  <si>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</si>
  <si>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</si>
  <si>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</si>
  <si>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</si>
  <si>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</si>
  <si>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</si>
  <si>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</si>
  <si>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</si>
  <si>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</si>
  <si>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</si>
  <si>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</si>
  <si>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</si>
  <si>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</si>
  <si>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</si>
  <si>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</si>
  <si>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</si>
  <si>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</si>
  <si>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</si>
  <si>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</si>
  <si>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</si>
  <si>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</si>
  <si>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</si>
  <si>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</si>
  <si>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</si>
  <si>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</si>
  <si>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</si>
  <si>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</si>
  <si>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</si>
  <si>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</si>
  <si>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</si>
  <si>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</si>
  <si>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</si>
  <si>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</si>
  <si>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</si>
  <si>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</si>
  <si>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</si>
  <si>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</si>
  <si>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</si>
  <si>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</si>
  <si>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</si>
  <si>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</si>
  <si>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</si>
  <si>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</si>
  <si>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</si>
  <si>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</si>
  <si>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</si>
  <si>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</si>
  <si>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</si>
  <si>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</si>
  <si>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</si>
  <si>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</si>
  <si>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</si>
  <si>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</si>
  <si>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</si>
  <si>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</si>
  <si>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</si>
  <si>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</si>
  <si>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</si>
  <si>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</si>
  <si>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</si>
  <si>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</si>
  <si>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</si>
  <si>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</si>
  <si>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</si>
  <si>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</si>
  <si>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</si>
  <si>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</si>
  <si>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</si>
  <si>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</si>
  <si>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</si>
  <si>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</si>
  <si>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</si>
  <si>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</si>
  <si>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</si>
  <si>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</si>
  <si>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</si>
  <si>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</si>
  <si>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</si>
  <si>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</si>
  <si>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</si>
  <si>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</si>
  <si>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</si>
  <si>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</si>
  <si>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</si>
  <si>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</si>
  <si>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</si>
  <si>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</si>
  <si>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</si>
  <si>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</si>
  <si>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</si>
  <si>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</si>
  <si>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</si>
  <si>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</si>
  <si>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</si>
  <si>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</si>
  <si>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Lift Beets</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</si>
  <si>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</si>
  <si>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</si>
  <si>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</si>
  <si>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</si>
  <si>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</si>
  <si>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</si>
  <si>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</si>
  <si>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</si>
  <si>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</si>
  <si>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</si>
  <si>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</si>
  <si>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</si>
  <si>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</si>
  <si>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</si>
  <si>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</si>
  <si>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</si>
  <si>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</si>
  <si>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</si>
  <si>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</si>
  <si>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</si>
  <si>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</si>
  <si>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</si>
  <si>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</si>
  <si>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</si>
  <si>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</si>
  <si>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</si>
  <si>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</si>
  <si>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</si>
  <si>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</si>
  <si>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</si>
  <si>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</si>
  <si>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</si>
  <si>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</si>
  <si>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</si>
  <si>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</si>
  <si>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</si>
  <si>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</si>
  <si>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</si>
  <si>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</si>
  <si>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</si>
  <si>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</si>
  <si>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</si>
  <si>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</si>
  <si>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</si>
  <si>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</si>
  <si>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</si>
  <si>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</si>
  <si>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</si>
  <si>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</si>
  <si>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</si>
  <si>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</si>
  <si>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</si>
  <si>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</si>
  <si>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</si>
  <si>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</si>
  <si>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</si>
  <si>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</si>
  <si>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</si>
  <si>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</si>
  <si>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</si>
  <si>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</si>
  <si>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</si>
  <si>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</si>
  <si>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</si>
  <si>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</si>
  <si>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</si>
  <si>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</si>
  <si>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</si>
  <si>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</si>
  <si>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</si>
  <si>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</si>
  <si>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</si>
  <si>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</si>
  <si>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</si>
  <si>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</si>
  <si>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</si>
  <si>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</si>
  <si>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</si>
  <si>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</si>
  <si>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</si>
  <si>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</si>
  <si>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</si>
  <si>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</si>
  <si>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</si>
  <si>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</si>
  <si>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</si>
  <si>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</si>
  <si>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</si>
  <si>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</si>
  <si>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</si>
  <si>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</si>
  <si>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</si>
  <si>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</si>
  <si>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</si>
  <si>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</si>
  <si>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</si>
  <si>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</si>
  <si>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</si>
  <si>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</si>
  <si>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</si>
  <si>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</si>
  <si>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</si>
  <si>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</si>
  <si>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</si>
  <si>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</si>
  <si>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</si>
  <si>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</si>
  <si>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</si>
  <si>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</si>
  <si>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</si>
  <si>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</si>
  <si>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</si>
  <si>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</si>
  <si>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</si>
  <si>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</si>
  <si>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</si>
  <si>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</si>
  <si>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</si>
  <si>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</si>
  <si>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</si>
  <si>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</si>
  <si>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</si>
  <si>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</si>
  <si>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</si>
  <si>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</si>
  <si>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</si>
  <si>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</si>
  <si>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</si>
  <si>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</si>
  <si>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</si>
  <si>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</si>
  <si>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</si>
  <si>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</si>
  <si>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</si>
  <si>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</si>
  <si>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</si>
  <si>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</si>
  <si>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</si>
  <si>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</si>
  <si>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</si>
  <si>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</si>
  <si>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</si>
  <si>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</si>
  <si>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</si>
  <si>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</si>
  <si>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</si>
  <si>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</si>
  <si>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</si>
  <si>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</si>
  <si>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</si>
  <si>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</si>
  <si>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</si>
  <si>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</si>
  <si>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</si>
  <si>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</si>
  <si>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</si>
  <si>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</si>
  <si>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</si>
  <si>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</si>
  <si>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</si>
  <si>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</si>
  <si>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</si>
  <si>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</si>
  <si>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</si>
  <si>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</si>
  <si>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</si>
  <si>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</si>
  <si>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</si>
  <si>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</si>
  <si>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</si>
  <si>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</si>
  <si>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</si>
  <si>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</si>
  <si>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</si>
  <si>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</si>
  <si>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</si>
  <si>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</si>
  <si>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</si>
  <si>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</si>
  <si>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</si>
  <si>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</si>
  <si>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</si>
  <si>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</si>
  <si>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</si>
  <si>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</si>
  <si>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</si>
  <si>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</si>
  <si>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</si>
  <si>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</si>
  <si>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</si>
  <si>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</si>
  <si>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</si>
  <si>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</si>
  <si>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</si>
  <si>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</si>
  <si>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</si>
  <si>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</si>
  <si>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</si>
  <si>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Irrigation District O&amp;M Charge</t>
  </si>
  <si>
    <t>Plow</t>
  </si>
  <si>
    <t>Roller Harrow</t>
  </si>
  <si>
    <t>Plow - Moldboard</t>
  </si>
  <si>
    <t xml:space="preserve">Plows </t>
  </si>
  <si>
    <t>Spray (Prior Year Stubble)</t>
  </si>
  <si>
    <t>Velpar 75DF</t>
  </si>
  <si>
    <t>Combine Small Grain</t>
  </si>
  <si>
    <t>32-0-0 (Applied by Pivot)</t>
  </si>
  <si>
    <t>No-Till</t>
  </si>
  <si>
    <t>Vida</t>
  </si>
  <si>
    <t>Peas</t>
  </si>
  <si>
    <t>Pea Seed Innoculent</t>
  </si>
  <si>
    <t>Sharpen</t>
  </si>
  <si>
    <t>Combine Sunflowers</t>
  </si>
  <si>
    <t>Rod Weeder &amp; Fertilizer</t>
  </si>
  <si>
    <t>Spray Fertilizer</t>
  </si>
  <si>
    <t>Dry 2 Points Removed</t>
  </si>
  <si>
    <t>Pivot Irrigated</t>
  </si>
  <si>
    <t>800 GPM 35 PSI</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</si>
  <si>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</si>
  <si>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</si>
  <si>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</si>
  <si>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</si>
  <si>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</si>
  <si>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</si>
  <si>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</si>
  <si>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</si>
  <si>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</si>
  <si>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</si>
  <si>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</si>
  <si>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</si>
  <si>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</si>
  <si>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</si>
  <si>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</si>
  <si>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</si>
  <si>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</si>
  <si>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</si>
  <si>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</si>
  <si>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</si>
  <si>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</si>
  <si>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</si>
  <si>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</si>
  <si>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</si>
  <si>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</si>
  <si>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</si>
  <si>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</si>
  <si>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</si>
  <si>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</si>
  <si>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</si>
  <si>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</si>
  <si>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</si>
  <si>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</si>
  <si>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</si>
  <si>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</si>
  <si>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</si>
  <si>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</si>
  <si>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</si>
  <si>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</si>
  <si>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</si>
  <si>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</si>
  <si>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</si>
  <si>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</si>
  <si>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</si>
  <si>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</si>
  <si>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UAN</t>
  </si>
  <si>
    <t>90 bu Yield Goal</t>
  </si>
  <si>
    <t>Annually Planted</t>
  </si>
  <si>
    <t>Followed by Wheat, Two Crops in Three Years</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</si>
  <si>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</si>
  <si>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</si>
  <si>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</si>
  <si>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</si>
  <si>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</si>
  <si>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</si>
  <si>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</si>
  <si>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</si>
  <si>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</si>
  <si>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</si>
  <si>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</si>
  <si>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</si>
  <si>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</si>
  <si>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</si>
  <si>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</si>
  <si>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</si>
  <si>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</si>
  <si>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</si>
  <si>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</si>
  <si>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</si>
  <si>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</si>
  <si>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</si>
  <si>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</si>
  <si>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</si>
  <si>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Panhandle, Stubble Mulch Fallow</t>
  </si>
  <si>
    <t>Panhandle</t>
  </si>
  <si>
    <t>Haul Grain Bushels</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</si>
  <si>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</si>
  <si>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</si>
  <si>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</si>
  <si>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</si>
  <si>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</si>
  <si>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</si>
  <si>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</si>
  <si>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</si>
  <si>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</si>
  <si>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r>
      <rPr>
        <b/>
        <sz val="10"/>
        <rFont val="Times New Roman"/>
        <family val="1"/>
      </rPr>
      <t>Overhead</t>
    </r>
    <r>
      <rPr>
        <sz val="10"/>
        <rFont val="Times New Roman"/>
        <family val="1"/>
      </rPr>
      <t xml:space="preserve">    (accounting, liability insurance, vehicle cost, office expense)</t>
    </r>
  </si>
  <si>
    <t>/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</si>
</sst>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8" formatCode="0.000"/>
  </numFmts>
  <fonts count="35"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sz val="8"/>
      <name val="Times New Roman"/>
      <family val="1"/>
    </font>
    <font>
      <b/>
      <sz val="12"/>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35">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4" xfId="0" applyFont="1" applyFill="1" applyBorder="1" applyAlignment="1">
      <alignment wrapText="1"/>
    </xf>
    <xf numFmtId="0" fontId="4" fillId="4" borderId="14" xfId="0" applyFont="1" applyFill="1" applyBorder="1"/>
    <xf numFmtId="0" fontId="0" fillId="4" borderId="14"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4" xfId="1" applyFont="1" applyFill="1" applyBorder="1" applyProtection="1">
      <protection locked="0"/>
    </xf>
    <xf numFmtId="165" fontId="4" fillId="5" borderId="14" xfId="1" applyNumberFormat="1" applyFont="1" applyFill="1" applyBorder="1" applyProtection="1">
      <protection locked="0"/>
    </xf>
    <xf numFmtId="0" fontId="4" fillId="5" borderId="14" xfId="0" applyFont="1" applyFill="1" applyBorder="1" applyAlignment="1" applyProtection="1">
      <alignment wrapText="1"/>
      <protection locked="0"/>
    </xf>
    <xf numFmtId="0" fontId="0" fillId="5" borderId="14" xfId="0" applyFill="1" applyBorder="1" applyProtection="1">
      <protection locked="0"/>
    </xf>
    <xf numFmtId="10" fontId="4" fillId="5" borderId="14" xfId="2" applyNumberFormat="1" applyFont="1" applyFill="1" applyBorder="1" applyProtection="1">
      <protection locked="0"/>
    </xf>
    <xf numFmtId="43" fontId="4" fillId="5" borderId="14" xfId="3" applyFont="1" applyFill="1" applyBorder="1" applyProtection="1">
      <protection locked="0"/>
    </xf>
    <xf numFmtId="0" fontId="4" fillId="0" borderId="14" xfId="0" applyFont="1" applyFill="1" applyBorder="1" applyAlignment="1" applyProtection="1">
      <alignment wrapText="1"/>
    </xf>
    <xf numFmtId="0" fontId="4" fillId="0" borderId="14" xfId="0" quotePrefix="1" applyFont="1" applyFill="1" applyBorder="1" applyProtection="1"/>
    <xf numFmtId="0" fontId="0" fillId="0" borderId="14" xfId="0" applyFill="1" applyBorder="1" applyProtection="1"/>
    <xf numFmtId="0" fontId="4"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9" xfId="0" applyNumberFormat="1" applyFont="1" applyFill="1" applyBorder="1" applyAlignment="1" applyProtection="1">
      <alignment horizontal="left" wrapText="1"/>
    </xf>
    <xf numFmtId="2" fontId="12" fillId="0" borderId="9"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2" xfId="0" applyNumberFormat="1" applyFont="1" applyFill="1" applyBorder="1" applyAlignment="1" applyProtection="1">
      <alignment horizontal="center" wrapText="1"/>
    </xf>
    <xf numFmtId="2" fontId="12" fillId="0" borderId="10" xfId="0" applyNumberFormat="1" applyFont="1" applyFill="1" applyBorder="1" applyAlignment="1" applyProtection="1">
      <alignment horizontal="center" wrapText="1"/>
    </xf>
    <xf numFmtId="0" fontId="0" fillId="0" borderId="0" xfId="0" applyProtection="1"/>
    <xf numFmtId="0" fontId="3" fillId="0" borderId="6" xfId="0" applyNumberFormat="1" applyFont="1" applyFill="1" applyBorder="1" applyAlignment="1" applyProtection="1"/>
    <xf numFmtId="0" fontId="3" fillId="0" borderId="6" xfId="0" applyFont="1" applyFill="1" applyBorder="1" applyProtection="1"/>
    <xf numFmtId="37" fontId="3"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8" fillId="0" borderId="8" xfId="0" applyNumberFormat="1" applyFont="1" applyFill="1" applyBorder="1" applyAlignment="1" applyProtection="1"/>
    <xf numFmtId="0" fontId="9" fillId="0" borderId="8" xfId="0" applyNumberFormat="1" applyFont="1" applyFill="1" applyBorder="1" applyAlignment="1" applyProtection="1"/>
    <xf numFmtId="0" fontId="9" fillId="0" borderId="8" xfId="0" applyNumberFormat="1" applyFont="1" applyFill="1" applyBorder="1" applyAlignment="1" applyProtection="1">
      <alignment horizontal="center"/>
    </xf>
    <xf numFmtId="37" fontId="9" fillId="0" borderId="8" xfId="1" applyNumberFormat="1" applyFont="1" applyFill="1" applyBorder="1" applyAlignment="1" applyProtection="1"/>
    <xf numFmtId="0" fontId="9" fillId="0" borderId="6" xfId="0" applyNumberFormat="1" applyFont="1" applyFill="1" applyBorder="1" applyAlignment="1" applyProtection="1"/>
    <xf numFmtId="0" fontId="9" fillId="0" borderId="6" xfId="0" applyNumberFormat="1" applyFont="1" applyFill="1" applyBorder="1" applyAlignment="1" applyProtection="1">
      <alignment horizontal="center"/>
    </xf>
    <xf numFmtId="37" fontId="9" fillId="0" borderId="6"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5" xfId="0" applyNumberFormat="1" applyFont="1" applyFill="1" applyBorder="1" applyAlignment="1" applyProtection="1"/>
    <xf numFmtId="37" fontId="9" fillId="0" borderId="7" xfId="1" applyNumberFormat="1" applyFont="1" applyFill="1" applyBorder="1" applyAlignment="1" applyProtection="1"/>
    <xf numFmtId="0" fontId="9" fillId="2" borderId="5" xfId="0" applyNumberFormat="1" applyFont="1" applyFill="1" applyBorder="1" applyAlignment="1" applyProtection="1"/>
    <xf numFmtId="0" fontId="9" fillId="2" borderId="6" xfId="0" applyNumberFormat="1" applyFont="1" applyFill="1" applyBorder="1" applyAlignment="1" applyProtection="1"/>
    <xf numFmtId="0" fontId="9" fillId="2" borderId="6" xfId="0" applyNumberFormat="1" applyFont="1" applyFill="1" applyBorder="1" applyAlignment="1" applyProtection="1">
      <alignment horizontal="center"/>
    </xf>
    <xf numFmtId="37" fontId="9" fillId="2" borderId="7"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4" xfId="1" applyFont="1" applyFill="1" applyBorder="1" applyProtection="1">
      <protection locked="0"/>
    </xf>
    <xf numFmtId="0" fontId="23" fillId="4" borderId="0" xfId="4" applyFill="1" applyAlignment="1" applyProtection="1"/>
    <xf numFmtId="0" fontId="0" fillId="5" borderId="14" xfId="0" applyFill="1" applyBorder="1"/>
    <xf numFmtId="2" fontId="0" fillId="5" borderId="14" xfId="0" applyNumberFormat="1" applyFill="1" applyBorder="1"/>
    <xf numFmtId="0" fontId="2" fillId="4" borderId="14" xfId="0" applyFont="1" applyFill="1" applyBorder="1"/>
    <xf numFmtId="0" fontId="0" fillId="4" borderId="19" xfId="0" applyFill="1" applyBorder="1"/>
    <xf numFmtId="0" fontId="2" fillId="4" borderId="18"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0"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0" xfId="0" applyNumberFormat="1" applyFont="1" applyFill="1" applyBorder="1" applyAlignment="1">
      <alignment horizontal="right" wrapText="1"/>
    </xf>
    <xf numFmtId="0" fontId="0" fillId="5" borderId="9" xfId="0" applyFont="1" applyFill="1" applyBorder="1"/>
    <xf numFmtId="0" fontId="0" fillId="5" borderId="1" xfId="0" applyFont="1" applyFill="1" applyBorder="1"/>
    <xf numFmtId="2" fontId="0" fillId="5" borderId="1" xfId="0" applyNumberFormat="1" applyFont="1" applyFill="1" applyBorder="1"/>
    <xf numFmtId="0" fontId="0" fillId="5" borderId="25" xfId="0" applyFont="1" applyFill="1" applyBorder="1" applyAlignment="1">
      <alignment vertical="top" wrapText="1"/>
    </xf>
    <xf numFmtId="0" fontId="18" fillId="5" borderId="26" xfId="0" applyFont="1" applyFill="1" applyBorder="1" applyAlignment="1">
      <alignment vertical="top" wrapText="1"/>
    </xf>
    <xf numFmtId="2" fontId="18" fillId="5" borderId="26" xfId="0" applyNumberFormat="1" applyFont="1" applyFill="1" applyBorder="1" applyAlignment="1">
      <alignment vertical="top" wrapText="1"/>
    </xf>
    <xf numFmtId="9" fontId="18" fillId="5" borderId="26" xfId="0" applyNumberFormat="1" applyFont="1" applyFill="1" applyBorder="1" applyAlignment="1">
      <alignment vertical="top" wrapText="1"/>
    </xf>
    <xf numFmtId="0" fontId="18" fillId="5" borderId="26" xfId="0" applyFont="1" applyFill="1" applyBorder="1" applyAlignment="1">
      <alignment wrapText="1"/>
    </xf>
    <xf numFmtId="0" fontId="18" fillId="5" borderId="26" xfId="0" applyNumberFormat="1" applyFont="1" applyFill="1" applyBorder="1" applyAlignment="1">
      <alignment vertical="top" wrapText="1"/>
    </xf>
    <xf numFmtId="8" fontId="18" fillId="7" borderId="28" xfId="0" applyNumberFormat="1" applyFont="1" applyFill="1" applyBorder="1" applyAlignment="1">
      <alignment horizontal="right" wrapText="1"/>
    </xf>
    <xf numFmtId="8" fontId="18" fillId="0" borderId="28" xfId="0" applyNumberFormat="1" applyFont="1" applyBorder="1" applyAlignment="1">
      <alignment horizontal="right" wrapText="1"/>
    </xf>
    <xf numFmtId="2" fontId="0" fillId="5" borderId="26" xfId="0" applyNumberFormat="1" applyFont="1" applyFill="1" applyBorder="1"/>
    <xf numFmtId="0" fontId="0" fillId="5" borderId="26" xfId="0" applyFont="1" applyFill="1" applyBorder="1"/>
    <xf numFmtId="0" fontId="0" fillId="5" borderId="25" xfId="0" applyFont="1" applyFill="1" applyBorder="1"/>
    <xf numFmtId="0" fontId="0" fillId="5" borderId="25" xfId="0" applyFont="1" applyFill="1" applyBorder="1" applyAlignment="1">
      <alignment vertical="top"/>
    </xf>
    <xf numFmtId="168" fontId="18" fillId="5" borderId="26" xfId="0" applyNumberFormat="1" applyFont="1" applyFill="1" applyBorder="1" applyAlignment="1">
      <alignment vertical="top" wrapText="1"/>
    </xf>
    <xf numFmtId="0" fontId="25" fillId="6" borderId="27" xfId="0" applyFont="1" applyFill="1" applyBorder="1" applyAlignment="1">
      <alignment wrapText="1"/>
    </xf>
    <xf numFmtId="0" fontId="25" fillId="6" borderId="0" xfId="0" applyFont="1" applyFill="1" applyBorder="1" applyAlignment="1">
      <alignment wrapText="1"/>
    </xf>
    <xf numFmtId="0" fontId="25" fillId="6" borderId="24" xfId="0" applyFont="1" applyFill="1" applyBorder="1" applyAlignment="1">
      <alignment wrapText="1"/>
    </xf>
    <xf numFmtId="0" fontId="5" fillId="5" borderId="26" xfId="0" applyFont="1" applyFill="1" applyBorder="1" applyAlignment="1">
      <alignment horizontal="center" vertical="top" wrapText="1"/>
    </xf>
    <xf numFmtId="8" fontId="5" fillId="5" borderId="26" xfId="0" applyNumberFormat="1" applyFont="1" applyFill="1" applyBorder="1" applyAlignment="1">
      <alignment horizontal="center" vertical="top" wrapText="1"/>
    </xf>
    <xf numFmtId="38" fontId="5" fillId="5" borderId="26" xfId="0" applyNumberFormat="1" applyFont="1" applyFill="1" applyBorder="1" applyAlignment="1">
      <alignment horizontal="center" vertical="top" wrapText="1"/>
    </xf>
    <xf numFmtId="43" fontId="5" fillId="5" borderId="26" xfId="3" applyNumberFormat="1" applyFont="1" applyFill="1" applyBorder="1" applyAlignment="1">
      <alignment horizontal="center" vertical="top" wrapText="1"/>
    </xf>
    <xf numFmtId="40" fontId="17" fillId="5" borderId="26" xfId="3" applyNumberFormat="1" applyFont="1" applyFill="1" applyBorder="1" applyAlignment="1">
      <alignment horizontal="center" vertical="top" wrapText="1"/>
    </xf>
    <xf numFmtId="0" fontId="17" fillId="5" borderId="26" xfId="3" applyNumberFormat="1" applyFont="1" applyFill="1" applyBorder="1" applyAlignment="1">
      <alignment horizontal="center" vertical="top" wrapText="1"/>
    </xf>
    <xf numFmtId="164" fontId="0" fillId="3" borderId="26" xfId="3" applyNumberFormat="1" applyFont="1" applyFill="1" applyBorder="1"/>
    <xf numFmtId="43" fontId="0" fillId="3" borderId="25" xfId="3" applyNumberFormat="1" applyFont="1" applyFill="1" applyBorder="1"/>
    <xf numFmtId="164" fontId="0" fillId="3" borderId="25" xfId="3" applyNumberFormat="1" applyFont="1" applyFill="1" applyBorder="1"/>
    <xf numFmtId="2" fontId="0" fillId="3" borderId="25" xfId="3" applyNumberFormat="1" applyFont="1" applyFill="1" applyBorder="1"/>
    <xf numFmtId="40" fontId="5" fillId="5" borderId="26" xfId="0" applyNumberFormat="1" applyFont="1" applyFill="1" applyBorder="1" applyAlignment="1">
      <alignment horizontal="center" vertical="top" wrapText="1"/>
    </xf>
    <xf numFmtId="38" fontId="19" fillId="5" borderId="26" xfId="0" applyNumberFormat="1" applyFont="1" applyFill="1" applyBorder="1" applyAlignment="1">
      <alignment horizontal="center" vertical="top" wrapText="1"/>
    </xf>
    <xf numFmtId="40" fontId="19" fillId="5" borderId="26" xfId="0" applyNumberFormat="1" applyFont="1" applyFill="1" applyBorder="1" applyAlignment="1">
      <alignment horizontal="center" vertical="top" wrapText="1"/>
    </xf>
    <xf numFmtId="40" fontId="21" fillId="5" borderId="26" xfId="0" applyNumberFormat="1" applyFont="1" applyFill="1" applyBorder="1" applyAlignment="1">
      <alignment horizontal="center" vertical="top" wrapText="1"/>
    </xf>
    <xf numFmtId="38" fontId="21" fillId="5" borderId="26" xfId="0" applyNumberFormat="1" applyFont="1" applyFill="1" applyBorder="1" applyAlignment="1">
      <alignment horizontal="center" vertical="top" wrapText="1"/>
    </xf>
    <xf numFmtId="0" fontId="19" fillId="5" borderId="26" xfId="3" applyNumberFormat="1" applyFont="1" applyFill="1" applyBorder="1" applyAlignment="1">
      <alignment horizontal="center" vertical="top" wrapText="1"/>
    </xf>
    <xf numFmtId="43" fontId="17" fillId="5" borderId="26" xfId="3" applyNumberFormat="1" applyFont="1" applyFill="1" applyBorder="1" applyAlignment="1">
      <alignment horizontal="center" vertical="top" wrapText="1"/>
    </xf>
    <xf numFmtId="38" fontId="17" fillId="5" borderId="26" xfId="0" applyNumberFormat="1" applyFont="1" applyFill="1" applyBorder="1" applyAlignment="1">
      <alignment horizontal="center" vertical="top" wrapText="1"/>
    </xf>
    <xf numFmtId="43" fontId="19" fillId="5" borderId="26" xfId="3" applyNumberFormat="1" applyFont="1" applyFill="1" applyBorder="1" applyAlignment="1">
      <alignment horizontal="center" vertical="top" wrapText="1"/>
    </xf>
    <xf numFmtId="38" fontId="5" fillId="5" borderId="26" xfId="3" applyNumberFormat="1" applyFont="1" applyFill="1" applyBorder="1" applyAlignment="1">
      <alignment horizontal="center" vertical="top" wrapText="1"/>
    </xf>
    <xf numFmtId="8" fontId="17" fillId="5" borderId="26" xfId="3" applyNumberFormat="1" applyFont="1" applyFill="1" applyBorder="1" applyAlignment="1">
      <alignment horizontal="center" vertical="top" wrapText="1"/>
    </xf>
    <xf numFmtId="0" fontId="5" fillId="5" borderId="26"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7" fillId="0" borderId="0" xfId="0" applyFont="1" applyFill="1" applyBorder="1" applyProtection="1">
      <protection locked="0"/>
    </xf>
    <xf numFmtId="0" fontId="27" fillId="0" borderId="0" xfId="0" applyFont="1" applyFill="1" applyBorder="1"/>
    <xf numFmtId="0" fontId="28" fillId="0" borderId="0" xfId="0" applyFont="1" applyFill="1" applyBorder="1"/>
    <xf numFmtId="0" fontId="27" fillId="0" borderId="0" xfId="0" applyFont="1" applyFill="1" applyBorder="1" applyAlignment="1" applyProtection="1">
      <alignment horizontal="center"/>
      <protection locked="0"/>
    </xf>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Border="1" applyProtection="1">
      <protection locked="0"/>
    </xf>
    <xf numFmtId="0" fontId="30" fillId="0" borderId="0" xfId="0" applyFont="1" applyFill="1" applyBorder="1"/>
    <xf numFmtId="0" fontId="30" fillId="0" borderId="0" xfId="0" applyFont="1" applyFill="1" applyAlignment="1">
      <alignment horizontal="right"/>
    </xf>
    <xf numFmtId="0" fontId="30" fillId="0" borderId="0" xfId="0" applyFont="1" applyFill="1"/>
    <xf numFmtId="0" fontId="31" fillId="0" borderId="0" xfId="0" applyFont="1" applyFill="1" applyBorder="1" applyProtection="1">
      <protection locked="0"/>
    </xf>
    <xf numFmtId="2" fontId="26" fillId="0" borderId="0" xfId="0" applyNumberFormat="1" applyFont="1" applyFill="1" applyBorder="1" applyAlignment="1">
      <alignment horizontal="right" indent="1"/>
    </xf>
    <xf numFmtId="0" fontId="26" fillId="0" borderId="4" xfId="0" applyFont="1" applyFill="1" applyBorder="1"/>
    <xf numFmtId="0" fontId="26" fillId="0" borderId="0" xfId="0" applyFont="1" applyFill="1" applyBorder="1" applyAlignment="1" applyProtection="1">
      <alignment horizontal="center"/>
      <protection locked="0"/>
    </xf>
    <xf numFmtId="0" fontId="26" fillId="0" borderId="17"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4" fontId="26" fillId="0" borderId="0" xfId="0" applyNumberFormat="1" applyFont="1" applyFill="1" applyAlignment="1">
      <alignment horizontal="right"/>
    </xf>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4" fontId="26" fillId="0" borderId="3" xfId="0" applyNumberFormat="1" applyFont="1" applyFill="1" applyBorder="1" applyAlignment="1">
      <alignment horizontal="right"/>
    </xf>
    <xf numFmtId="0" fontId="26" fillId="0" borderId="13" xfId="0" applyFont="1" applyFill="1" applyBorder="1"/>
    <xf numFmtId="0" fontId="28" fillId="0" borderId="0" xfId="0" applyFont="1" applyFill="1" applyBorder="1" applyAlignment="1"/>
    <xf numFmtId="0" fontId="32" fillId="0" borderId="0" xfId="0" applyFont="1" applyFill="1" applyBorder="1" applyAlignment="1"/>
    <xf numFmtId="4" fontId="28" fillId="0" borderId="0" xfId="0" applyNumberFormat="1" applyFont="1" applyFill="1" applyBorder="1" applyAlignment="1">
      <alignment horizontal="right"/>
    </xf>
    <xf numFmtId="166" fontId="26" fillId="0" borderId="0" xfId="1" applyNumberFormat="1" applyFont="1" applyFill="1"/>
    <xf numFmtId="4" fontId="28" fillId="0" borderId="0" xfId="3" applyNumberFormat="1" applyFont="1" applyFill="1" applyAlignment="1">
      <alignment horizontal="right"/>
    </xf>
    <xf numFmtId="166" fontId="28" fillId="0" borderId="0" xfId="1" applyNumberFormat="1" applyFont="1" applyFill="1"/>
    <xf numFmtId="10" fontId="28" fillId="0" borderId="0" xfId="0" applyNumberFormat="1" applyFont="1" applyFill="1"/>
    <xf numFmtId="0" fontId="28" fillId="0" borderId="0" xfId="0" applyFont="1" applyFill="1"/>
    <xf numFmtId="4" fontId="28" fillId="0" borderId="3" xfId="3" applyNumberFormat="1" applyFont="1" applyFill="1" applyBorder="1" applyAlignment="1">
      <alignment horizontal="right"/>
    </xf>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8" fillId="0" borderId="0" xfId="0" applyFont="1" applyFill="1" applyAlignment="1">
      <alignment horizontal="right"/>
    </xf>
    <xf numFmtId="0" fontId="33" fillId="0" borderId="0" xfId="0" applyFont="1" applyFill="1"/>
    <xf numFmtId="2" fontId="26" fillId="0" borderId="3" xfId="0" applyNumberFormat="1" applyFont="1" applyFill="1" applyBorder="1" applyAlignment="1">
      <alignment horizontal="right"/>
    </xf>
    <xf numFmtId="2" fontId="28" fillId="0" borderId="0" xfId="0" applyNumberFormat="1" applyFont="1" applyFill="1" applyBorder="1" applyAlignment="1">
      <alignment horizontal="right"/>
    </xf>
    <xf numFmtId="2" fontId="28" fillId="0" borderId="0" xfId="3" applyNumberFormat="1" applyFont="1" applyFill="1" applyAlignment="1">
      <alignment horizontal="right"/>
    </xf>
    <xf numFmtId="2" fontId="28" fillId="0" borderId="3" xfId="3" applyNumberFormat="1" applyFont="1" applyFill="1" applyBorder="1" applyAlignment="1">
      <alignment horizontal="right"/>
    </xf>
    <xf numFmtId="0" fontId="27" fillId="0" borderId="0" xfId="0" applyFont="1" applyFill="1" applyBorder="1" applyAlignment="1" applyProtection="1">
      <alignment horizontal="right"/>
      <protection locked="0"/>
    </xf>
    <xf numFmtId="0" fontId="28" fillId="0" borderId="4" xfId="0" applyFont="1" applyFill="1" applyBorder="1"/>
    <xf numFmtId="0" fontId="34" fillId="0" borderId="0" xfId="0" applyFont="1" applyFill="1" applyBorder="1" applyProtection="1">
      <protection locked="0"/>
    </xf>
    <xf numFmtId="0" fontId="30" fillId="0" borderId="0" xfId="0" applyFont="1" applyFill="1" applyBorder="1" applyAlignment="1" applyProtection="1">
      <alignment horizontal="center"/>
      <protection locked="0"/>
    </xf>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2" fontId="28" fillId="0" borderId="0" xfId="0" applyNumberFormat="1" applyFont="1" applyFill="1" applyBorder="1" applyAlignment="1">
      <alignment horizontal="right" indent="1"/>
    </xf>
    <xf numFmtId="2" fontId="26" fillId="0" borderId="0" xfId="0" applyNumberFormat="1" applyFont="1" applyFill="1" applyBorder="1" applyAlignment="1">
      <alignment horizontal="right"/>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28" fillId="0" borderId="0" xfId="0" applyFont="1" applyFill="1" applyBorder="1" applyAlignment="1" applyProtection="1">
      <alignment horizontal="center"/>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8" fillId="5" borderId="0" xfId="3"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0" fontId="2" fillId="4" borderId="22" xfId="0" applyFont="1" applyFill="1" applyBorder="1" applyAlignment="1">
      <alignment horizontal="left"/>
    </xf>
    <xf numFmtId="0" fontId="2" fillId="4" borderId="23" xfId="0" applyFont="1" applyFill="1" applyBorder="1" applyAlignment="1">
      <alignment horizontal="left"/>
    </xf>
    <xf numFmtId="0" fontId="24" fillId="4" borderId="0" xfId="0" applyFont="1" applyFill="1" applyAlignment="1">
      <alignment horizontal="center"/>
    </xf>
    <xf numFmtId="0" fontId="0" fillId="4" borderId="21" xfId="0" applyFill="1" applyBorder="1" applyAlignment="1">
      <alignment horizontal="left"/>
    </xf>
    <xf numFmtId="0" fontId="0" fillId="4" borderId="20" xfId="0" applyFill="1" applyBorder="1" applyAlignment="1">
      <alignment horizontal="left"/>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16" xfId="0" applyFont="1" applyFill="1" applyBorder="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xf>
    <xf numFmtId="0" fontId="30" fillId="0" borderId="3" xfId="0" applyFont="1" applyFill="1" applyBorder="1" applyAlignment="1">
      <alignment horizontal="center"/>
    </xf>
    <xf numFmtId="0" fontId="26" fillId="8" borderId="15" xfId="0" applyFont="1" applyFill="1" applyBorder="1" applyAlignment="1" applyProtection="1">
      <alignment horizontal="center"/>
      <protection locked="0"/>
    </xf>
    <xf numFmtId="0" fontId="26" fillId="8" borderId="17" xfId="0" applyFont="1" applyFill="1" applyBorder="1" applyAlignment="1" applyProtection="1">
      <alignment horizontal="center"/>
      <protection locked="0"/>
    </xf>
    <xf numFmtId="0" fontId="26" fillId="8" borderId="16" xfId="0" applyFont="1" applyFill="1" applyBorder="1" applyAlignment="1" applyProtection="1">
      <alignment horizontal="center"/>
      <protection locked="0"/>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428</v>
      </c>
    </row>
    <row r="42" spans="3:12" x14ac:dyDescent="0.2">
      <c r="D42" s="7" t="s">
        <v>579</v>
      </c>
      <c r="G42" s="7" t="s">
        <v>583</v>
      </c>
    </row>
    <row r="43" spans="3:12" x14ac:dyDescent="0.2">
      <c r="D43" s="7" t="s">
        <v>580</v>
      </c>
      <c r="G43" s="7" t="s">
        <v>430</v>
      </c>
    </row>
    <row r="44" spans="3:12" x14ac:dyDescent="0.2">
      <c r="D44" s="7" t="s">
        <v>581</v>
      </c>
      <c r="G44" s="7" t="s">
        <v>431</v>
      </c>
    </row>
    <row r="45" spans="3:12" x14ac:dyDescent="0.2">
      <c r="D45" s="7" t="s">
        <v>582</v>
      </c>
      <c r="G45" s="7" t="s">
        <v>429</v>
      </c>
    </row>
    <row r="46" spans="3:12" x14ac:dyDescent="0.2">
      <c r="D46" s="7" t="s">
        <v>584</v>
      </c>
      <c r="G46" s="7" t="s">
        <v>585</v>
      </c>
      <c r="L46" s="71"/>
    </row>
    <row r="47" spans="3:12" x14ac:dyDescent="0.2">
      <c r="D47" s="7" t="s">
        <v>586</v>
      </c>
      <c r="G47" s="7" t="s">
        <v>587</v>
      </c>
      <c r="L47" s="71"/>
    </row>
  </sheetData>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0">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45-Millet</v>
      </c>
      <c r="B2" s="138"/>
      <c r="C2" s="136"/>
      <c r="D2" s="136"/>
      <c r="E2" s="138"/>
      <c r="I2" s="189" t="s">
        <v>419</v>
      </c>
      <c r="J2" s="138"/>
      <c r="L2" s="134" t="str">
        <f>'General Variables'!A3&amp;" "&amp;'General Variables'!B3</f>
        <v>Year 2016</v>
      </c>
      <c r="O2" s="135" t="s">
        <v>407</v>
      </c>
    </row>
    <row r="3" spans="1:15" hidden="1" x14ac:dyDescent="0.2">
      <c r="A3" s="137" t="s">
        <v>492</v>
      </c>
      <c r="B3" s="138"/>
      <c r="C3" s="136"/>
      <c r="D3" s="136"/>
      <c r="E3" s="138"/>
      <c r="G3" s="136"/>
      <c r="I3" s="138" t="s">
        <v>539</v>
      </c>
      <c r="O3" s="135" t="s">
        <v>406</v>
      </c>
    </row>
    <row r="4" spans="1:15" hidden="1" x14ac:dyDescent="0.2">
      <c r="A4" s="137">
        <v>22</v>
      </c>
      <c r="B4" s="137" t="s">
        <v>66</v>
      </c>
      <c r="C4" s="136"/>
      <c r="D4" s="136"/>
      <c r="E4" s="138"/>
      <c r="F4" s="138"/>
      <c r="G4" s="138"/>
      <c r="H4" s="138"/>
      <c r="I4" s="138"/>
      <c r="J4" s="139" t="s">
        <v>504</v>
      </c>
      <c r="K4" s="140"/>
      <c r="O4" s="135" t="str">
        <f>B4</f>
        <v>cwt</v>
      </c>
    </row>
    <row r="5" spans="1:15" ht="15.75" hidden="1" x14ac:dyDescent="0.25">
      <c r="A5" s="219" t="str">
        <f ca="1" xml:space="preserve"> A2  &amp; IF(C2="","",  ", " &amp;C2 ) &amp; ", " &amp; A3 &amp; ", " &amp; I2</f>
        <v>45-Millet, No-Till, Dryland</v>
      </c>
      <c r="B5" s="219"/>
      <c r="C5" s="219"/>
      <c r="D5" s="219"/>
      <c r="E5" s="219"/>
      <c r="F5" s="219"/>
      <c r="G5" s="219"/>
      <c r="H5" s="219"/>
      <c r="I5" s="219"/>
      <c r="J5" s="219"/>
      <c r="K5" s="219"/>
      <c r="L5" s="219"/>
      <c r="O5" s="135"/>
    </row>
    <row r="6" spans="1:15" ht="15.75" hidden="1" x14ac:dyDescent="0.25">
      <c r="A6" s="194"/>
      <c r="B6" s="194"/>
      <c r="C6" s="194"/>
      <c r="D6" s="194"/>
      <c r="E6" s="194"/>
      <c r="F6" s="194"/>
      <c r="G6" s="194"/>
      <c r="H6" s="194"/>
      <c r="I6" s="194"/>
      <c r="J6" s="194"/>
      <c r="K6" s="194"/>
      <c r="L6" s="194"/>
      <c r="O6" s="135"/>
    </row>
    <row r="7" spans="1:15" ht="30" customHeight="1" x14ac:dyDescent="0.25">
      <c r="A7" s="219" t="str">
        <f ca="1">'General Variables'!B3 &amp; " Budget "  &amp; A2 &amp;", "  &amp; IF(C2=0,"", " " &amp; C2 &amp; ", ") &amp;  A3 &amp; IF(A4=""," ", " (") &amp; A4 &amp; " " &amp; B4 &amp; IF(A4="",""," Actual Yield)")</f>
        <v>2016 Budget 45-Millet, No-Till (22 cwt Actual Yield)</v>
      </c>
      <c r="B7" s="219"/>
      <c r="C7" s="219"/>
      <c r="D7" s="219"/>
      <c r="E7" s="219"/>
      <c r="F7" s="219"/>
      <c r="G7" s="219"/>
      <c r="H7" s="219"/>
      <c r="I7" s="219"/>
      <c r="J7" s="219"/>
      <c r="K7" s="219"/>
      <c r="L7" s="219"/>
      <c r="O7" s="135"/>
    </row>
    <row r="8" spans="1:15" ht="15.75" x14ac:dyDescent="0.25">
      <c r="A8" s="141" t="str">
        <f>IF(I2="Dryland","Dryland",I2 &amp; IF(J2="","",", "&amp;J2)&amp;IF(H3="","",", "&amp;H3&amp;" "&amp;I3))</f>
        <v>Dryland</v>
      </c>
      <c r="B8" s="137"/>
      <c r="C8" s="136"/>
      <c r="D8" s="136"/>
      <c r="E8" s="138"/>
      <c r="F8" s="138"/>
      <c r="G8" s="138"/>
      <c r="H8" s="138"/>
      <c r="I8" s="138"/>
      <c r="O8" s="135"/>
    </row>
    <row r="10" spans="1:15" s="140" customFormat="1" ht="22.5" customHeight="1" x14ac:dyDescent="0.2">
      <c r="B10" s="228" t="s">
        <v>71</v>
      </c>
      <c r="C10" s="227" t="s">
        <v>1</v>
      </c>
      <c r="D10" s="198"/>
      <c r="E10" s="227" t="str">
        <f>"Labor @ $" &amp;TEXT('General Variables'!B4,"#.00")&amp; " /Hr"</f>
        <v>Labor @ $20.00 /Hr</v>
      </c>
      <c r="F10" s="227" t="str">
        <f>"Fuel @ $" &amp; TEXT('General Variables'!B5,"#.00") &amp; " and Lube"</f>
        <v>Fuel @ $2.25 and Lube</v>
      </c>
      <c r="G10" s="230" t="s">
        <v>72</v>
      </c>
      <c r="H10" s="230"/>
      <c r="I10" s="230" t="s">
        <v>354</v>
      </c>
      <c r="J10" s="230"/>
      <c r="K10" s="230" t="s">
        <v>2</v>
      </c>
      <c r="L10" s="227" t="s">
        <v>361</v>
      </c>
    </row>
    <row r="11" spans="1:15" s="140" customFormat="1" ht="21.75" customHeight="1" thickBot="1" x14ac:dyDescent="0.25">
      <c r="B11" s="229"/>
      <c r="C11" s="226"/>
      <c r="D11" s="197" t="s">
        <v>70</v>
      </c>
      <c r="E11" s="226"/>
      <c r="F11" s="226"/>
      <c r="G11" s="199" t="s">
        <v>73</v>
      </c>
      <c r="H11" s="199" t="s">
        <v>75</v>
      </c>
      <c r="I11" s="199" t="s">
        <v>73</v>
      </c>
      <c r="J11" s="199" t="s">
        <v>75</v>
      </c>
      <c r="K11" s="231"/>
      <c r="L11" s="226"/>
    </row>
    <row r="12" spans="1:15" ht="13.5" thickTop="1" x14ac:dyDescent="0.2">
      <c r="A12" s="196">
        <v>1</v>
      </c>
      <c r="B12" s="203" t="s">
        <v>51</v>
      </c>
      <c r="C12" s="205">
        <v>1</v>
      </c>
      <c r="D12" s="200"/>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2">
        <f>IF(C12&gt;9999,"",ROUND(SUM(E12:J12),2))</f>
        <v>4.2300000000000004</v>
      </c>
      <c r="L12" s="143"/>
    </row>
    <row r="13" spans="1:15" x14ac:dyDescent="0.2">
      <c r="A13" s="196">
        <v>2</v>
      </c>
      <c r="B13" s="203" t="s">
        <v>499</v>
      </c>
      <c r="C13" s="205">
        <v>1</v>
      </c>
      <c r="D13" s="200"/>
      <c r="E13" s="142">
        <f>IF(B13=0,"",IF(C13&gt;9999,"",ROUND('General Variables'!$B$4*VLOOKUP(B13,Operations!$A$2:$U$101,10,FALSE)/VLOOKUP(B13,Operations!$A$2:$U$101,9,FALSE)*C13,2)))</f>
        <v>1</v>
      </c>
      <c r="F13" s="142">
        <f>IF(B13=0,0,IF(C13&gt;9999,"",ROUND(IF(VLOOKUP(B13,Operations!$A$2:$U$101,12,FALSE)=0,VLOOKUP(B13,Operations!$A$2:$U$101,13,FALSE)*'General Variables'!$B$8,VLOOKUP(B13,Operations!$A$2:$U$101,12,FALSE)*'General Variables'!$B$7)/VLOOKUP(B13,Operations!$A$2:$U$101,9,FALSE)*C13,2)))</f>
        <v>0.27</v>
      </c>
      <c r="G13" s="142">
        <f>IF(B13=0,0,IF(C13&gt;9999,"",ROUND(VLOOKUP(VLOOKUP(B13,Operations!$A$2:$U$101,11,FALSE),PowerUnits[],10,FALSE)/VLOOKUP(B13,Operations!$A$2:$U$101,9,FALSE)*C13,2)))</f>
        <v>0.33</v>
      </c>
      <c r="H13" s="142">
        <f>IF(B13=0,"",IF(C13&gt;9999,"",ROUND(VLOOKUP($B13,Operations!$A$2:$U$101,15,FALSE)*C13,2)))</f>
        <v>0.19</v>
      </c>
      <c r="I13" s="142">
        <f>IF(B13=0,0,IF(C13&gt;9999,"",ROUND(VLOOKUP(VLOOKUP(B13,Operations!$A$2:$U$101,11,FALSE),PowerUnits[],16,FALSE)/VLOOKUP(B13,Operations!$A$2:$U$101,9,FALSE)*C13,2)))</f>
        <v>1.1100000000000001</v>
      </c>
      <c r="J13" s="142">
        <f>IF(B13=0,"",IF(C13&gt;9999,"",ROUND(VLOOKUP($B13,Operations!$A$2:$U$101,21,FALSE)*$C13,2)))</f>
        <v>2.21</v>
      </c>
      <c r="K13" s="142">
        <f t="shared" ref="K13:K31" si="0">IF(C13&gt;9999,"",ROUND(SUM(E13:J13),2))</f>
        <v>5.1100000000000003</v>
      </c>
      <c r="L13" s="143"/>
    </row>
    <row r="14" spans="1:15" x14ac:dyDescent="0.2">
      <c r="A14" s="196">
        <v>3</v>
      </c>
      <c r="B14" s="203" t="s">
        <v>285</v>
      </c>
      <c r="C14" s="205">
        <v>1</v>
      </c>
      <c r="D14" s="200"/>
      <c r="E14" s="142">
        <f>IF(B14=0,"",IF(C14&gt;9999,"",ROUND('General Variables'!$B$4*VLOOKUP(B14,Operations!$A$2:$U$101,10,FALSE)/VLOOKUP(B14,Operations!$A$2:$U$101,9,FALSE)*C14,2)))</f>
        <v>1.83</v>
      </c>
      <c r="F14" s="142">
        <f>IF(B14=0,0,IF(C14&gt;9999,"",ROUND(IF(VLOOKUP(B14,Operations!$A$2:$U$101,12,FALSE)=0,VLOOKUP(B14,Operations!$A$2:$U$101,13,FALSE)*'General Variables'!$B$8,VLOOKUP(B14,Operations!$A$2:$U$101,12,FALSE)*'General Variables'!$B$7)/VLOOKUP(B14,Operations!$A$2:$U$101,9,FALSE)*C14,2)))</f>
        <v>1.31</v>
      </c>
      <c r="G14" s="142">
        <f>IF(B14=0,0,IF(C14&gt;9999,"",ROUND(VLOOKUP(VLOOKUP(B14,Operations!$A$2:$U$101,11,FALSE),PowerUnits[],10,FALSE)/VLOOKUP(B14,Operations!$A$2:$U$101,9,FALSE)*C14,2)))</f>
        <v>0.69</v>
      </c>
      <c r="H14" s="142">
        <f>IF(B14=0,"",IF(C14&gt;9999,"",ROUND(VLOOKUP($B14,Operations!$A$2:$U$101,15,FALSE)*C14,2)))</f>
        <v>1.57</v>
      </c>
      <c r="I14" s="142">
        <f>IF(B14=0,0,IF(C14&gt;9999,"",ROUND(VLOOKUP(VLOOKUP(B14,Operations!$A$2:$U$101,11,FALSE),PowerUnits[],16,FALSE)/VLOOKUP(B14,Operations!$A$2:$U$101,9,FALSE)*C14,2)))</f>
        <v>2.2999999999999998</v>
      </c>
      <c r="J14" s="142">
        <f>IF(B14=0,"",IF(C14&gt;9999,"",ROUND(VLOOKUP($B14,Operations!$A$2:$U$101,21,FALSE)*$C14,2)))</f>
        <v>3.54</v>
      </c>
      <c r="K14" s="142">
        <f t="shared" si="0"/>
        <v>11.24</v>
      </c>
      <c r="L14" s="143"/>
    </row>
    <row r="15" spans="1:15" x14ac:dyDescent="0.2">
      <c r="A15" s="196">
        <v>4</v>
      </c>
      <c r="B15" s="203" t="s">
        <v>51</v>
      </c>
      <c r="C15" s="205">
        <v>1</v>
      </c>
      <c r="D15" s="200"/>
      <c r="E15" s="142">
        <f>IF(B15=0,"",IF(C15&gt;9999,"",ROUND('General Variables'!$B$4*VLOOKUP(B15,Operations!$A$2:$U$101,10,FALSE)/VLOOKUP(B15,Operations!$A$2:$U$101,9,FALSE)*C15,2)))</f>
        <v>1</v>
      </c>
      <c r="F15" s="142">
        <f>IF(B15=0,0,IF(C15&gt;9999,"",ROUND(IF(VLOOKUP(B15,Operations!$A$2:$U$101,12,FALSE)=0,VLOOKUP(B15,Operations!$A$2:$U$101,13,FALSE)*'General Variables'!$B$8,VLOOKUP(B15,Operations!$A$2:$U$101,12,FALSE)*'General Variables'!$B$7)/VLOOKUP(B15,Operations!$A$2:$U$101,9,FALSE)*C15,2)))</f>
        <v>0.27</v>
      </c>
      <c r="G15" s="142">
        <f>IF(B15=0,0,IF(C15&gt;9999,"",ROUND(VLOOKUP(VLOOKUP(B15,Operations!$A$2:$U$101,11,FALSE),PowerUnits[],10,FALSE)/VLOOKUP(B15,Operations!$A$2:$U$101,9,FALSE)*C15,2)))</f>
        <v>0.33</v>
      </c>
      <c r="H15" s="142">
        <f>IF(B15=0,"",IF(C15&gt;9999,"",ROUND(VLOOKUP($B15,Operations!$A$2:$U$101,15,FALSE)*C15,2)))</f>
        <v>0.64</v>
      </c>
      <c r="I15" s="142">
        <f>IF(B15=0,0,IF(C15&gt;9999,"",ROUND(VLOOKUP(VLOOKUP(B15,Operations!$A$2:$U$101,11,FALSE),PowerUnits[],16,FALSE)/VLOOKUP(B15,Operations!$A$2:$U$101,9,FALSE)*C15,2)))</f>
        <v>1.1100000000000001</v>
      </c>
      <c r="J15" s="142">
        <f>IF(B15=0,"",IF(C15&gt;9999,"",ROUND(VLOOKUP($B15,Operations!$A$2:$U$101,21,FALSE)*$C15,2)))</f>
        <v>0.88</v>
      </c>
      <c r="K15" s="142">
        <f t="shared" si="0"/>
        <v>4.2300000000000004</v>
      </c>
      <c r="L15" s="143"/>
    </row>
    <row r="16" spans="1:15" x14ac:dyDescent="0.2">
      <c r="A16" s="196">
        <v>5</v>
      </c>
      <c r="B16" s="203" t="s">
        <v>300</v>
      </c>
      <c r="C16" s="205">
        <v>1</v>
      </c>
      <c r="D16" s="200"/>
      <c r="E16" s="142">
        <f>IF(B16=0,"",IF(C16&gt;9999,"",ROUND('General Variables'!$B$4*VLOOKUP(B16,Operations!$A$2:$U$101,10,FALSE)/VLOOKUP(B16,Operations!$A$2:$U$101,9,FALSE)*C16,2)))</f>
        <v>2</v>
      </c>
      <c r="F16" s="142">
        <f>IF(B16=0,0,IF(C16&gt;9999,"",ROUND(IF(VLOOKUP(B16,Operations!$A$2:$U$101,12,FALSE)=0,VLOOKUP(B16,Operations!$A$2:$U$101,13,FALSE)*'General Variables'!$B$8,VLOOKUP(B16,Operations!$A$2:$U$101,12,FALSE)*'General Variables'!$B$7)/VLOOKUP(B16,Operations!$A$2:$U$101,9,FALSE)*C16,2)))</f>
        <v>1.29</v>
      </c>
      <c r="G16" s="142">
        <f>IF(B16=0,0,IF(C16&gt;9999,"",ROUND(VLOOKUP(VLOOKUP(B16,Operations!$A$2:$U$101,11,FALSE),PowerUnits[],10,FALSE)/VLOOKUP(B16,Operations!$A$2:$U$101,9,FALSE)*C16,2)))</f>
        <v>2.29</v>
      </c>
      <c r="H16" s="142">
        <f>IF(B16=0,"",IF(C16&gt;9999,"",ROUND(VLOOKUP($B16,Operations!$A$2:$U$101,15,FALSE)*C16,2)))</f>
        <v>0</v>
      </c>
      <c r="I16" s="142">
        <f>IF(B16=0,0,IF(C16&gt;9999,"",ROUND(VLOOKUP(VLOOKUP(B16,Operations!$A$2:$U$101,11,FALSE),PowerUnits[],16,FALSE)/VLOOKUP(B16,Operations!$A$2:$U$101,9,FALSE)*C16,2)))</f>
        <v>3.61</v>
      </c>
      <c r="J16" s="142">
        <f>IF(B16=0,"",IF(C16&gt;9999,"",ROUND(VLOOKUP($B16,Operations!$A$2:$U$101,21,FALSE)*$C16,2)))</f>
        <v>0</v>
      </c>
      <c r="K16" s="142">
        <f t="shared" si="0"/>
        <v>9.19</v>
      </c>
      <c r="L16" s="143"/>
    </row>
    <row r="17" spans="1:12" x14ac:dyDescent="0.2">
      <c r="A17" s="196">
        <v>6</v>
      </c>
      <c r="B17" s="203" t="s">
        <v>490</v>
      </c>
      <c r="C17" s="205">
        <v>1</v>
      </c>
      <c r="D17" s="200"/>
      <c r="E17" s="142">
        <f>IF(B17=0,"",IF(C17&gt;9999,"",ROUND('General Variables'!$B$4*VLOOKUP(B17,Operations!$A$2:$U$101,10,FALSE)/VLOOKUP(B17,Operations!$A$2:$U$101,9,FALSE)*C17,2)))</f>
        <v>3.14</v>
      </c>
      <c r="F17" s="142">
        <f>IF(B17=0,0,IF(C17&gt;9999,"",ROUND(IF(VLOOKUP(B17,Operations!$A$2:$U$101,12,FALSE)=0,VLOOKUP(B17,Operations!$A$2:$U$101,13,FALSE)*'General Variables'!$B$8,VLOOKUP(B17,Operations!$A$2:$U$101,12,FALSE)*'General Variables'!$B$7)/VLOOKUP(B17,Operations!$A$2:$U$101,9,FALSE)*C17,2)))</f>
        <v>3.87</v>
      </c>
      <c r="G17" s="142">
        <f>IF(B17=0,0,IF(C17&gt;9999,"",ROUND(VLOOKUP(VLOOKUP(B17,Operations!$A$2:$U$101,11,FALSE),PowerUnits[],10,FALSE)/VLOOKUP(B17,Operations!$A$2:$U$101,9,FALSE)*C17,2)))</f>
        <v>7.31</v>
      </c>
      <c r="H17" s="142">
        <f>IF(B17=0,"",IF(C17&gt;9999,"",ROUND(VLOOKUP($B17,Operations!$A$2:$U$101,15,FALSE)*C17,2)))</f>
        <v>0.93</v>
      </c>
      <c r="I17" s="142">
        <f>IF(B17=0,0,IF(C17&gt;9999,"",ROUND(VLOOKUP(VLOOKUP(B17,Operations!$A$2:$U$101,11,FALSE),PowerUnits[],16,FALSE)/VLOOKUP(B17,Operations!$A$2:$U$101,9,FALSE)*C17,2)))</f>
        <v>5.99</v>
      </c>
      <c r="J17" s="142">
        <f>IF(B17=0,"",IF(C17&gt;9999,"",ROUND(VLOOKUP($B17,Operations!$A$2:$U$101,21,FALSE)*$C17,2)))</f>
        <v>2.81</v>
      </c>
      <c r="K17" s="142">
        <f t="shared" si="0"/>
        <v>24.05</v>
      </c>
      <c r="L17" s="143"/>
    </row>
    <row r="18" spans="1:12" x14ac:dyDescent="0.2">
      <c r="A18" s="196">
        <v>7</v>
      </c>
      <c r="B18" s="203" t="s">
        <v>298</v>
      </c>
      <c r="C18" s="205" t="s">
        <v>3</v>
      </c>
      <c r="D18" s="200"/>
      <c r="E18" s="142" t="str">
        <f>IF(B18=0,"",IF(C18&gt;9999,"",ROUND('General Variables'!$B$4*VLOOKUP(B18,Operations!$A$2:$U$101,10,FALSE)/VLOOKUP(B18,Operations!$A$2:$U$101,9,FALSE)*C18,2)))</f>
        <v/>
      </c>
      <c r="F18" s="142" t="str">
        <f>IF(B18=0,0,IF(C18&gt;9999,"",ROUND(IF(VLOOKUP(B18,Operations!$A$2:$U$101,12,FALSE)=0,VLOOKUP(B18,Operations!$A$2:$U$101,13,FALSE)*'General Variables'!$B$8,VLOOKUP(B18,Operations!$A$2:$U$101,12,FALSE)*'General Variables'!$B$7)/VLOOKUP(B18,Operations!$A$2:$U$101,9,FALSE)*C18,2)))</f>
        <v/>
      </c>
      <c r="G18" s="142" t="str">
        <f>IF(B18=0,0,IF(C18&gt;9999,"",ROUND(VLOOKUP(VLOOKUP(B18,Operations!$A$2:$U$101,11,FALSE),PowerUnits[],10,FALSE)/VLOOKUP(B18,Operations!$A$2:$U$101,9,FALSE)*C18,2)))</f>
        <v/>
      </c>
      <c r="H18" s="142" t="str">
        <f>IF(B18=0,"",IF(C18&gt;9999,"",ROUND(VLOOKUP($B18,Operations!$A$2:$U$101,15,FALSE)*C18,2)))</f>
        <v/>
      </c>
      <c r="I18" s="142" t="str">
        <f>IF(B18=0,0,IF(C18&gt;9999,"",ROUND(VLOOKUP(VLOOKUP(B18,Operations!$A$2:$U$101,11,FALSE),PowerUnits[],16,FALSE)/VLOOKUP(B18,Operations!$A$2:$U$101,9,FALSE)*C18,2)))</f>
        <v/>
      </c>
      <c r="J18" s="142" t="str">
        <f>IF(B18=0,"",IF(C18&gt;9999,"",ROUND(VLOOKUP($B18,Operations!$A$2:$U$101,21,FALSE)*$C18,2)))</f>
        <v/>
      </c>
      <c r="K18" s="142" t="str">
        <f t="shared" si="0"/>
        <v/>
      </c>
      <c r="L18" s="143"/>
    </row>
    <row r="19" spans="1:12" hidden="1" x14ac:dyDescent="0.2">
      <c r="A19" s="196">
        <v>8</v>
      </c>
      <c r="B19" s="203"/>
      <c r="C19" s="205"/>
      <c r="D19" s="200"/>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IF(C19&gt;9999,"",ROUND(SUM(E19:J19),2))</f>
        <v>0</v>
      </c>
      <c r="L19" s="143"/>
    </row>
    <row r="20" spans="1:12" hidden="1" x14ac:dyDescent="0.2">
      <c r="A20" s="196">
        <v>9</v>
      </c>
      <c r="B20" s="203"/>
      <c r="C20" s="205"/>
      <c r="D20" s="200"/>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6">
        <v>10</v>
      </c>
      <c r="B21" s="203"/>
      <c r="C21" s="205"/>
      <c r="D21" s="200"/>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6">
        <v>11</v>
      </c>
      <c r="B22" s="203"/>
      <c r="C22" s="205"/>
      <c r="D22" s="200"/>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6">
        <v>12</v>
      </c>
      <c r="B23" s="203"/>
      <c r="C23" s="205"/>
      <c r="D23" s="200"/>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6">
        <v>13</v>
      </c>
      <c r="B24" s="203"/>
      <c r="C24" s="205"/>
      <c r="D24" s="200"/>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6">
        <v>14</v>
      </c>
      <c r="B25" s="204"/>
      <c r="C25" s="206"/>
      <c r="D25" s="200"/>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6">
        <v>15</v>
      </c>
      <c r="B26" s="204"/>
      <c r="C26" s="206"/>
      <c r="D26" s="200"/>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6">
        <v>16</v>
      </c>
      <c r="B27" s="204"/>
      <c r="C27" s="206"/>
      <c r="D27" s="200"/>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6">
        <v>17</v>
      </c>
      <c r="B28" s="204"/>
      <c r="C28" s="206"/>
      <c r="D28" s="200"/>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6">
        <v>18</v>
      </c>
      <c r="B29" s="204"/>
      <c r="C29" s="206"/>
      <c r="D29" s="200"/>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6">
        <v>19</v>
      </c>
      <c r="B30" s="204"/>
      <c r="C30" s="206"/>
      <c r="D30" s="200"/>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6">
        <v>20</v>
      </c>
      <c r="B31" s="204"/>
      <c r="C31" s="206"/>
      <c r="D31" s="200"/>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6"/>
      <c r="B32" s="146"/>
      <c r="C32" s="147"/>
      <c r="D32" s="147"/>
      <c r="E32" s="148"/>
      <c r="F32" s="148"/>
      <c r="G32" s="148"/>
      <c r="H32" s="148"/>
      <c r="I32" s="148"/>
      <c r="J32" s="148"/>
      <c r="K32" s="148"/>
      <c r="L32" s="149"/>
    </row>
    <row r="33" spans="1:12" ht="13.5" thickTop="1" x14ac:dyDescent="0.2">
      <c r="C33" s="139" t="s">
        <v>74</v>
      </c>
      <c r="D33" s="139"/>
      <c r="E33" s="150">
        <f>SUM(E12:E31)</f>
        <v>9.9700000000000006</v>
      </c>
      <c r="F33" s="150">
        <f t="shared" ref="F33:K33" si="1">SUM(F12:F31)</f>
        <v>7.28</v>
      </c>
      <c r="G33" s="150">
        <f t="shared" si="1"/>
        <v>11.28</v>
      </c>
      <c r="H33" s="150">
        <f t="shared" si="1"/>
        <v>3.9700000000000006</v>
      </c>
      <c r="I33" s="150">
        <f t="shared" si="1"/>
        <v>15.23</v>
      </c>
      <c r="J33" s="150">
        <f t="shared" si="1"/>
        <v>10.32</v>
      </c>
      <c r="K33" s="150">
        <f t="shared" si="1"/>
        <v>58.05</v>
      </c>
      <c r="L33" s="143"/>
    </row>
    <row r="35" spans="1:12" ht="24" customHeight="1" thickBot="1" x14ac:dyDescent="0.25">
      <c r="B35" s="136"/>
      <c r="C35" s="136"/>
      <c r="D35" s="136"/>
      <c r="E35" s="136"/>
      <c r="F35" s="226" t="s">
        <v>85</v>
      </c>
      <c r="G35" s="226" t="s">
        <v>82</v>
      </c>
      <c r="H35" s="227" t="s">
        <v>86</v>
      </c>
      <c r="I35" s="227"/>
      <c r="J35" s="226" t="s">
        <v>62</v>
      </c>
      <c r="L35" s="227" t="s">
        <v>361</v>
      </c>
    </row>
    <row r="36" spans="1:12" s="151" customFormat="1" ht="18.75" customHeight="1" thickTop="1" thickBot="1" x14ac:dyDescent="0.25">
      <c r="B36" s="152" t="s">
        <v>81</v>
      </c>
      <c r="C36" s="197"/>
      <c r="D36" s="197"/>
      <c r="E36" s="197"/>
      <c r="F36" s="226"/>
      <c r="G36" s="226"/>
      <c r="H36" s="190" t="s">
        <v>87</v>
      </c>
      <c r="I36" s="191" t="s">
        <v>70</v>
      </c>
      <c r="J36" s="226"/>
      <c r="K36" s="197" t="s">
        <v>83</v>
      </c>
      <c r="L36" s="226"/>
    </row>
    <row r="37" spans="1:12" ht="13.5" thickTop="1" x14ac:dyDescent="0.2">
      <c r="A37" s="175"/>
      <c r="B37" s="203" t="s">
        <v>29</v>
      </c>
      <c r="C37" s="220" t="str">
        <f>IF(B37=0,"",VLOOKUP($B37,Materials!$B$2:$H$127,2,FALSE))</f>
        <v>Herbicide</v>
      </c>
      <c r="D37" s="220"/>
      <c r="E37" s="220"/>
      <c r="F37" s="205">
        <v>1</v>
      </c>
      <c r="G37" s="207">
        <v>1</v>
      </c>
      <c r="H37" s="208">
        <v>36</v>
      </c>
      <c r="I37" s="153" t="str">
        <f>IF($B37=0,"",VLOOKUP($B37,Materials!$B$2:$H$127,5,FALSE))</f>
        <v>ounce</v>
      </c>
      <c r="J37" s="142">
        <f>IF($B37=0,"",VLOOKUP($B37,Materials!$B$2:$H$127,7,FALSE))</f>
        <v>0.125</v>
      </c>
      <c r="K37" s="150">
        <f>IF(B37=0,0,ROUND(G37*H37*J37,2))</f>
        <v>4.5</v>
      </c>
      <c r="L37" s="143"/>
    </row>
    <row r="38" spans="1:12" x14ac:dyDescent="0.2">
      <c r="A38" s="175"/>
      <c r="B38" s="203" t="s">
        <v>439</v>
      </c>
      <c r="C38" s="220" t="str">
        <f>IF(B38=0,"",VLOOKUP($B38,Materials!$B$2:$H$127,2,FALSE))</f>
        <v>Additive</v>
      </c>
      <c r="D38" s="220"/>
      <c r="E38" s="220"/>
      <c r="F38" s="205">
        <v>1</v>
      </c>
      <c r="G38" s="207">
        <v>1</v>
      </c>
      <c r="H38" s="208">
        <v>1.7</v>
      </c>
      <c r="I38" s="153" t="str">
        <f>IF($B38=0,"",VLOOKUP($B38,Materials!$B$2:$H$127,5,FALSE))</f>
        <v>pound</v>
      </c>
      <c r="J38" s="142">
        <f>IF($B38=0,"",VLOOKUP($B38,Materials!$B$2:$H$127,7,FALSE))</f>
        <v>0.35</v>
      </c>
      <c r="K38" s="150">
        <f t="shared" ref="K38:K55" si="2">IF(B38=0,0,ROUND(G38*H38*J38,2))</f>
        <v>0.6</v>
      </c>
      <c r="L38" s="143"/>
    </row>
    <row r="39" spans="1:12" x14ac:dyDescent="0.2">
      <c r="A39" s="175"/>
      <c r="B39" s="203" t="s">
        <v>13</v>
      </c>
      <c r="C39" s="220" t="str">
        <f>IF(B39=0,"",VLOOKUP($B39,Materials!$B$2:$H$127,2,FALSE))</f>
        <v>Fertilizer</v>
      </c>
      <c r="D39" s="220"/>
      <c r="E39" s="220"/>
      <c r="F39" s="205">
        <v>2</v>
      </c>
      <c r="G39" s="207">
        <v>1</v>
      </c>
      <c r="H39" s="208">
        <v>45</v>
      </c>
      <c r="I39" s="153" t="str">
        <f>IF($B39=0,"",VLOOKUP($B39,Materials!$B$2:$H$127,5,FALSE))</f>
        <v>lbs N</v>
      </c>
      <c r="J39" s="142">
        <f>IF($B39=0,"",VLOOKUP($B39,Materials!$B$2:$H$127,7,FALSE))</f>
        <v>0.46666666666666662</v>
      </c>
      <c r="K39" s="150">
        <f t="shared" si="2"/>
        <v>21</v>
      </c>
      <c r="L39" s="143"/>
    </row>
    <row r="40" spans="1:12" x14ac:dyDescent="0.2">
      <c r="A40" s="175"/>
      <c r="B40" s="203" t="s">
        <v>29</v>
      </c>
      <c r="C40" s="220" t="str">
        <f>IF(B40=0,"",VLOOKUP($B40,Materials!$B$2:$H$127,2,FALSE))</f>
        <v>Herbicide</v>
      </c>
      <c r="D40" s="220"/>
      <c r="E40" s="220"/>
      <c r="F40" s="205">
        <v>2</v>
      </c>
      <c r="G40" s="207">
        <v>1</v>
      </c>
      <c r="H40" s="208">
        <v>20</v>
      </c>
      <c r="I40" s="153" t="str">
        <f>IF($B40=0,"",VLOOKUP($B40,Materials!$B$2:$H$127,5,FALSE))</f>
        <v>ounce</v>
      </c>
      <c r="J40" s="142">
        <f>IF($B40=0,"",VLOOKUP($B40,Materials!$B$2:$H$127,7,FALSE))</f>
        <v>0.125</v>
      </c>
      <c r="K40" s="150">
        <f t="shared" si="2"/>
        <v>2.5</v>
      </c>
      <c r="L40" s="143"/>
    </row>
    <row r="41" spans="1:12" x14ac:dyDescent="0.2">
      <c r="A41" s="175"/>
      <c r="B41" s="203" t="s">
        <v>493</v>
      </c>
      <c r="C41" s="220" t="str">
        <f>IF(B41=0,"",VLOOKUP($B41,Materials!$B$2:$H$127,2,FALSE))</f>
        <v>Herbicide</v>
      </c>
      <c r="D41" s="220"/>
      <c r="E41" s="220"/>
      <c r="F41" s="205">
        <v>2</v>
      </c>
      <c r="G41" s="207">
        <v>1</v>
      </c>
      <c r="H41" s="208">
        <v>2</v>
      </c>
      <c r="I41" s="153" t="str">
        <f>IF($B41=0,"",VLOOKUP($B41,Materials!$B$2:$H$127,5,FALSE))</f>
        <v>ounce</v>
      </c>
      <c r="J41" s="142">
        <f>IF($B41=0,"",VLOOKUP($B41,Materials!$B$2:$H$127,7,FALSE))</f>
        <v>2.5000000000000001E-2</v>
      </c>
      <c r="K41" s="150">
        <f t="shared" si="2"/>
        <v>0.05</v>
      </c>
      <c r="L41" s="143"/>
    </row>
    <row r="42" spans="1:12" x14ac:dyDescent="0.2">
      <c r="A42" s="175"/>
      <c r="B42" s="203" t="s">
        <v>39</v>
      </c>
      <c r="C42" s="220" t="str">
        <f>IF(B42=0,"",VLOOKUP($B42,Materials!$B$2:$H$127,2,FALSE))</f>
        <v>Seed</v>
      </c>
      <c r="D42" s="220"/>
      <c r="E42" s="220"/>
      <c r="F42" s="205">
        <v>3</v>
      </c>
      <c r="G42" s="207">
        <v>1</v>
      </c>
      <c r="H42" s="209">
        <v>12</v>
      </c>
      <c r="I42" s="153" t="str">
        <f>IF($B42=0,"",VLOOKUP($B42,Materials!$B$2:$H$127,5,FALSE))</f>
        <v>pound</v>
      </c>
      <c r="J42" s="142">
        <f>IF($B42=0,"",VLOOKUP($B42,Materials!$B$2:$H$127,7,FALSE))</f>
        <v>0.45</v>
      </c>
      <c r="K42" s="150">
        <f t="shared" si="2"/>
        <v>5.4</v>
      </c>
      <c r="L42" s="143"/>
    </row>
    <row r="43" spans="1:12" x14ac:dyDescent="0.2">
      <c r="A43" s="180"/>
      <c r="B43" s="203" t="s">
        <v>10</v>
      </c>
      <c r="C43" s="220" t="str">
        <f>IF(B43=0,"",VLOOKUP($B43,Materials!$B$2:$H$127,2,FALSE))</f>
        <v>Herbicide</v>
      </c>
      <c r="D43" s="220"/>
      <c r="E43" s="220"/>
      <c r="F43" s="205">
        <v>4</v>
      </c>
      <c r="G43" s="207">
        <v>1</v>
      </c>
      <c r="H43" s="208">
        <v>0.75</v>
      </c>
      <c r="I43" s="153" t="str">
        <f>IF($B43=0,"",VLOOKUP($B43,Materials!$B$2:$H$127,5,FALSE))</f>
        <v>pint</v>
      </c>
      <c r="J43" s="142">
        <f>IF($B43=0,"",VLOOKUP($B43,Materials!$B$2:$H$127,7,FALSE))</f>
        <v>1.875</v>
      </c>
      <c r="K43" s="150">
        <f t="shared" si="2"/>
        <v>1.41</v>
      </c>
      <c r="L43" s="143"/>
    </row>
    <row r="44" spans="1:12" x14ac:dyDescent="0.2">
      <c r="A44" s="180"/>
      <c r="B44" s="203" t="s">
        <v>25</v>
      </c>
      <c r="C44" s="220" t="str">
        <f>IF(B44=0,"",VLOOKUP($B44,Materials!$B$2:$H$127,2,FALSE))</f>
        <v>Herbicide</v>
      </c>
      <c r="D44" s="220"/>
      <c r="E44" s="220"/>
      <c r="F44" s="205">
        <v>4</v>
      </c>
      <c r="G44" s="207">
        <v>1</v>
      </c>
      <c r="H44" s="208">
        <v>0.5</v>
      </c>
      <c r="I44" s="153" t="str">
        <f>IF($B44=0,"",VLOOKUP($B44,Materials!$B$2:$H$127,5,FALSE))</f>
        <v>ounce</v>
      </c>
      <c r="J44" s="142">
        <f>IF($B44=0,"",VLOOKUP($B44,Materials!$B$2:$H$127,7,FALSE))</f>
        <v>0.5859375</v>
      </c>
      <c r="K44" s="150">
        <f t="shared" si="2"/>
        <v>0.28999999999999998</v>
      </c>
      <c r="L44" s="143"/>
    </row>
    <row r="45" spans="1:12" x14ac:dyDescent="0.2">
      <c r="A45" s="180"/>
      <c r="B45" s="203" t="s">
        <v>380</v>
      </c>
      <c r="C45" s="220" t="str">
        <f>IF(B45=0,"",VLOOKUP($B45,Materials!$B$2:$H$127,2,FALSE))</f>
        <v>Custom</v>
      </c>
      <c r="D45" s="220"/>
      <c r="E45" s="220"/>
      <c r="F45" s="205">
        <v>7</v>
      </c>
      <c r="G45" s="207">
        <v>1</v>
      </c>
      <c r="H45" s="208">
        <f>A4</f>
        <v>22</v>
      </c>
      <c r="I45" s="153" t="str">
        <f>IF($B45=0,"",VLOOKUP($B45,Materials!$B$2:$H$127,5,FALSE))</f>
        <v>cwt</v>
      </c>
      <c r="J45" s="142">
        <f>IF($B45=0,"",VLOOKUP($B45,Materials!$B$2:$H$127,7,FALSE))</f>
        <v>0.24</v>
      </c>
      <c r="K45" s="150">
        <f t="shared" si="2"/>
        <v>5.28</v>
      </c>
      <c r="L45" s="143"/>
    </row>
    <row r="46" spans="1:12" hidden="1" x14ac:dyDescent="0.2">
      <c r="A46" s="180"/>
      <c r="B46" s="203"/>
      <c r="C46" s="220" t="str">
        <f>IF(B46=0,"",VLOOKUP($B46,Materials!$B$2:$H$127,2,FALSE))</f>
        <v/>
      </c>
      <c r="D46" s="220"/>
      <c r="E46" s="220"/>
      <c r="F46" s="205"/>
      <c r="G46" s="207"/>
      <c r="H46" s="208"/>
      <c r="I46" s="153" t="str">
        <f>IF($B46=0,"",VLOOKUP($B46,Materials!$B$2:$H$127,5,FALSE))</f>
        <v/>
      </c>
      <c r="J46" s="142" t="str">
        <f>IF($B46=0,"",VLOOKUP($B46,Materials!$B$2:$H$127,7,FALSE))</f>
        <v/>
      </c>
      <c r="K46" s="150">
        <f t="shared" si="2"/>
        <v>0</v>
      </c>
      <c r="L46" s="143"/>
    </row>
    <row r="47" spans="1:12" hidden="1" x14ac:dyDescent="0.2">
      <c r="A47" s="180"/>
      <c r="B47" s="203"/>
      <c r="C47" s="220" t="str">
        <f>IF(B47=0,"",VLOOKUP($B47,Materials!$B$2:$H$127,2,FALSE))</f>
        <v/>
      </c>
      <c r="D47" s="220"/>
      <c r="E47" s="220"/>
      <c r="F47" s="205"/>
      <c r="G47" s="207"/>
      <c r="H47" s="208"/>
      <c r="I47" s="153" t="str">
        <f>IF($B47=0,"",VLOOKUP($B47,Materials!$B$2:$H$127,5,FALSE))</f>
        <v/>
      </c>
      <c r="J47" s="142" t="str">
        <f>IF($B47=0,"",VLOOKUP($B47,Materials!$B$2:$H$127,7,FALSE))</f>
        <v/>
      </c>
      <c r="K47" s="150">
        <f t="shared" si="2"/>
        <v>0</v>
      </c>
      <c r="L47" s="143"/>
    </row>
    <row r="48" spans="1:12" hidden="1" x14ac:dyDescent="0.2">
      <c r="A48" s="175"/>
      <c r="B48" s="203"/>
      <c r="C48" s="220" t="str">
        <f>IF(B48=0,"",VLOOKUP($B48,Materials!$B$2:$H$127,2,FALSE))</f>
        <v/>
      </c>
      <c r="D48" s="220"/>
      <c r="E48" s="220"/>
      <c r="F48" s="205"/>
      <c r="G48" s="207"/>
      <c r="H48" s="208"/>
      <c r="I48" s="153" t="str">
        <f>IF($B48=0,"",VLOOKUP($B48,Materials!$B$2:$H$127,5,FALSE))</f>
        <v/>
      </c>
      <c r="J48" s="142" t="str">
        <f>IF($B48=0,"",VLOOKUP($B48,Materials!$B$2:$H$127,7,FALSE))</f>
        <v/>
      </c>
      <c r="K48" s="150">
        <f t="shared" si="2"/>
        <v>0</v>
      </c>
      <c r="L48" s="143"/>
    </row>
    <row r="49" spans="1:12" hidden="1" x14ac:dyDescent="0.2">
      <c r="A49" s="175"/>
      <c r="B49" s="203"/>
      <c r="C49" s="220" t="str">
        <f>IF(B49=0,"",VLOOKUP($B49,Materials!$B$2:$H$127,2,FALSE))</f>
        <v/>
      </c>
      <c r="D49" s="220"/>
      <c r="E49" s="220"/>
      <c r="F49" s="205"/>
      <c r="G49" s="207"/>
      <c r="H49" s="208"/>
      <c r="I49" s="153" t="str">
        <f>IF($B49=0,"",VLOOKUP($B49,Materials!$B$2:$H$127,5,FALSE))</f>
        <v/>
      </c>
      <c r="J49" s="142" t="str">
        <f>IF($B49=0,"",VLOOKUP($B49,Materials!$B$2:$H$127,7,FALSE))</f>
        <v/>
      </c>
      <c r="K49" s="150">
        <f t="shared" si="2"/>
        <v>0</v>
      </c>
      <c r="L49" s="143"/>
    </row>
    <row r="50" spans="1:12" hidden="1" x14ac:dyDescent="0.2">
      <c r="B50" s="204"/>
      <c r="C50" s="220" t="str">
        <f>IF(B50=0,"",VLOOKUP($B50,Materials!$B$2:$H$127,2,FALSE))</f>
        <v/>
      </c>
      <c r="D50" s="220"/>
      <c r="E50" s="220"/>
      <c r="F50" s="206"/>
      <c r="G50" s="207"/>
      <c r="H50" s="210"/>
      <c r="I50" s="153" t="str">
        <f>IF($B50=0,"",VLOOKUP($B50,Materials!$B$2:$H$127,5,FALSE))</f>
        <v/>
      </c>
      <c r="J50" s="142" t="str">
        <f>IF($B50=0,"",VLOOKUP($B50,Materials!$B$2:$H$127,7,FALSE))</f>
        <v/>
      </c>
      <c r="K50" s="150">
        <f t="shared" si="2"/>
        <v>0</v>
      </c>
      <c r="L50" s="143"/>
    </row>
    <row r="51" spans="1:12" hidden="1" x14ac:dyDescent="0.2">
      <c r="B51" s="204"/>
      <c r="C51" s="220" t="str">
        <f>IF(B51=0,"",VLOOKUP($B51,Materials!$B$2:$H$127,2,FALSE))</f>
        <v/>
      </c>
      <c r="D51" s="220"/>
      <c r="E51" s="220"/>
      <c r="F51" s="206"/>
      <c r="G51" s="207"/>
      <c r="H51" s="210"/>
      <c r="I51" s="153" t="str">
        <f>IF($B51=0,"",VLOOKUP($B51,Materials!$B$2:$H$127,5,FALSE))</f>
        <v/>
      </c>
      <c r="J51" s="142" t="str">
        <f>IF($B51=0,"",VLOOKUP($B51,Materials!$B$2:$H$127,7,FALSE))</f>
        <v/>
      </c>
      <c r="K51" s="150">
        <f t="shared" si="2"/>
        <v>0</v>
      </c>
      <c r="L51" s="143"/>
    </row>
    <row r="52" spans="1:12" hidden="1" x14ac:dyDescent="0.2">
      <c r="B52" s="204"/>
      <c r="C52" s="220" t="str">
        <f>IF(B52=0,"",VLOOKUP($B52,Materials!$B$2:$H$127,2,FALSE))</f>
        <v/>
      </c>
      <c r="D52" s="220"/>
      <c r="E52" s="220"/>
      <c r="F52" s="206"/>
      <c r="G52" s="211"/>
      <c r="H52" s="210"/>
      <c r="I52" s="153" t="str">
        <f>IF($B52=0,"",VLOOKUP($B52,Materials!$B$2:$H$127,5,FALSE))</f>
        <v/>
      </c>
      <c r="J52" s="142" t="str">
        <f>IF($B52=0,"",VLOOKUP($B52,Materials!$B$2:$H$127,7,FALSE))</f>
        <v/>
      </c>
      <c r="K52" s="150">
        <f t="shared" si="2"/>
        <v>0</v>
      </c>
      <c r="L52" s="143"/>
    </row>
    <row r="53" spans="1:12" hidden="1" x14ac:dyDescent="0.2">
      <c r="B53" s="204"/>
      <c r="C53" s="220" t="str">
        <f>IF(B53=0,"",VLOOKUP($B53,Materials!$B$2:$H$127,2,FALSE))</f>
        <v/>
      </c>
      <c r="D53" s="220"/>
      <c r="E53" s="220"/>
      <c r="F53" s="206"/>
      <c r="G53" s="211"/>
      <c r="H53" s="210"/>
      <c r="I53" s="153" t="str">
        <f>IF($B53=0,"",VLOOKUP($B53,Materials!$B$2:$H$127,5,FALSE))</f>
        <v/>
      </c>
      <c r="J53" s="142" t="str">
        <f>IF($B53=0,"",VLOOKUP($B53,Materials!$B$2:$H$127,7,FALSE))</f>
        <v/>
      </c>
      <c r="K53" s="150">
        <f t="shared" si="2"/>
        <v>0</v>
      </c>
      <c r="L53" s="143"/>
    </row>
    <row r="54" spans="1:12" hidden="1" x14ac:dyDescent="0.2">
      <c r="B54" s="204"/>
      <c r="C54" s="220" t="str">
        <f>IF(B54=0,"",VLOOKUP($B54,Materials!$B$2:$H$127,2,FALSE))</f>
        <v/>
      </c>
      <c r="D54" s="220"/>
      <c r="E54" s="220"/>
      <c r="F54" s="206"/>
      <c r="G54" s="211"/>
      <c r="H54" s="210"/>
      <c r="I54" s="153" t="str">
        <f>IF($B54=0,"",VLOOKUP($B54,Materials!$B$2:$H$127,5,FALSE))</f>
        <v/>
      </c>
      <c r="J54" s="142" t="str">
        <f>IF($B54=0,"",VLOOKUP($B54,Materials!$B$2:$H$127,7,FALSE))</f>
        <v/>
      </c>
      <c r="K54" s="150">
        <f t="shared" si="2"/>
        <v>0</v>
      </c>
      <c r="L54" s="143"/>
    </row>
    <row r="55" spans="1:12" hidden="1" x14ac:dyDescent="0.2">
      <c r="B55" s="204"/>
      <c r="C55" s="220" t="str">
        <f>IF(B55=0,"",VLOOKUP($B55,Materials!$B$2:$H$127,2,FALSE))</f>
        <v/>
      </c>
      <c r="D55" s="220"/>
      <c r="E55" s="220"/>
      <c r="F55" s="206"/>
      <c r="G55" s="211"/>
      <c r="H55" s="210"/>
      <c r="I55" s="153" t="str">
        <f>IF($B55=0,"",VLOOKUP($B55,Materials!$B$2:$H$127,5,FALSE))</f>
        <v/>
      </c>
      <c r="J55" s="142" t="str">
        <f>IF($B55=0,"",VLOOKUP($B55,Materials!$B$2:$H$127,7,FALSE))</f>
        <v/>
      </c>
      <c r="K55" s="150">
        <f t="shared" si="2"/>
        <v>0</v>
      </c>
      <c r="L55" s="145"/>
    </row>
    <row r="56" spans="1:12" hidden="1" x14ac:dyDescent="0.2">
      <c r="B56" s="204"/>
      <c r="C56" s="220" t="str">
        <f>IF(B56=0,"",VLOOKUP($B56,Materials!$B$2:$H$127,2,FALSE))</f>
        <v/>
      </c>
      <c r="D56" s="220"/>
      <c r="E56" s="220"/>
      <c r="F56" s="206"/>
      <c r="G56" s="211"/>
      <c r="H56" s="210"/>
      <c r="I56" s="153" t="str">
        <f>IF($B56=0,"",VLOOKUP($B56,Materials!$B$2:$H$127,5,FALSE))</f>
        <v/>
      </c>
      <c r="J56" s="142" t="str">
        <f>IF($B56=0,"",VLOOKUP($B56,Materials!$B$2:$H$127,7,FALSE))</f>
        <v/>
      </c>
      <c r="K56" s="150">
        <f>IF(B56=0,0,ROUND(G56*H56*J56,2))</f>
        <v>0</v>
      </c>
      <c r="L56" s="145"/>
    </row>
    <row r="57" spans="1:12" hidden="1" x14ac:dyDescent="0.2">
      <c r="B57" s="204"/>
      <c r="C57" s="220" t="str">
        <f>IF(B57=0,"",VLOOKUP($B57,Materials!$B$2:$H$127,2,FALSE))</f>
        <v/>
      </c>
      <c r="D57" s="220"/>
      <c r="E57" s="220"/>
      <c r="F57" s="206"/>
      <c r="G57" s="211"/>
      <c r="H57" s="210"/>
      <c r="I57" s="153" t="str">
        <f>IF($B57=0,"",VLOOKUP($B57,Materials!$B$2:$H$127,5,FALSE))</f>
        <v/>
      </c>
      <c r="J57" s="142" t="str">
        <f>IF($B57=0,"",VLOOKUP($B57,Materials!$B$2:$H$127,7,FALSE))</f>
        <v/>
      </c>
      <c r="K57" s="150">
        <f>IF(B57=0,0,ROUND(G57*H57*J57,2))</f>
        <v>0</v>
      </c>
      <c r="L57" s="145"/>
    </row>
    <row r="58" spans="1:12" hidden="1" x14ac:dyDescent="0.2">
      <c r="B58" s="204"/>
      <c r="C58" s="220" t="str">
        <f>IF(B58=0,"",VLOOKUP($B58,Materials!$B$2:$H$127,2,FALSE))</f>
        <v/>
      </c>
      <c r="D58" s="220"/>
      <c r="E58" s="220"/>
      <c r="F58" s="206"/>
      <c r="G58" s="211"/>
      <c r="H58" s="210"/>
      <c r="I58" s="153" t="str">
        <f>IF($B58=0,"",VLOOKUP($B58,Materials!$B$2:$H$127,5,FALSE))</f>
        <v/>
      </c>
      <c r="J58" s="142" t="str">
        <f>IF($B58=0,"",VLOOKUP($B58,Materials!$B$2:$H$127,7,FALSE))</f>
        <v/>
      </c>
      <c r="K58" s="150">
        <f>IF(B58=0,0,ROUND(G58*H58*J58,2))</f>
        <v>0</v>
      </c>
      <c r="L58" s="145"/>
    </row>
    <row r="59" spans="1:12" hidden="1" x14ac:dyDescent="0.2">
      <c r="B59" s="204"/>
      <c r="C59" s="220" t="str">
        <f>IF(B59=0,"",VLOOKUP($B59,Materials!$B$2:$H$127,2,FALSE))</f>
        <v/>
      </c>
      <c r="D59" s="220"/>
      <c r="E59" s="220"/>
      <c r="F59" s="206"/>
      <c r="G59" s="211"/>
      <c r="H59" s="210"/>
      <c r="I59" s="153" t="str">
        <f>IF($B59=0,"",VLOOKUP($B59,Materials!$B$2:$H$127,5,FALSE))</f>
        <v/>
      </c>
      <c r="J59" s="142" t="str">
        <f>IF($B59=0,"",VLOOKUP($B59,Materials!$B$2:$H$127,7,FALSE))</f>
        <v/>
      </c>
      <c r="K59" s="150">
        <f>IF(B59=0,0,ROUND(G59*H59*J59,2))</f>
        <v>0</v>
      </c>
      <c r="L59" s="145"/>
    </row>
    <row r="60" spans="1:12" hidden="1" x14ac:dyDescent="0.2">
      <c r="B60" s="204"/>
      <c r="C60" s="220" t="str">
        <f>IF(B60=0,"",VLOOKUP($B60,Materials!$B$2:$H$127,2,FALSE))</f>
        <v/>
      </c>
      <c r="D60" s="220"/>
      <c r="E60" s="220"/>
      <c r="F60" s="206"/>
      <c r="G60" s="211"/>
      <c r="H60" s="210"/>
      <c r="I60" s="153" t="str">
        <f>IF($B60=0,"",VLOOKUP($B60,Materials!$B$2:$H$127,5,FALSE))</f>
        <v/>
      </c>
      <c r="J60" s="142" t="str">
        <f>IF($B60=0,"",VLOOKUP($B60,Materials!$B$2:$H$127,7,FALSE))</f>
        <v/>
      </c>
      <c r="K60" s="150">
        <f>IF(B60=0,0,ROUND(G60*H60*J60,2))</f>
        <v>0</v>
      </c>
      <c r="L60" s="145"/>
    </row>
    <row r="61" spans="1:12" hidden="1" x14ac:dyDescent="0.2">
      <c r="B61" s="204" t="s">
        <v>39</v>
      </c>
      <c r="C61" s="220" t="str">
        <f>IF(B61=0,0,"Crop Insurance")</f>
        <v>Crop Insurance</v>
      </c>
      <c r="D61" s="220"/>
      <c r="E61" s="220"/>
      <c r="F61" s="144"/>
      <c r="G61" s="201"/>
      <c r="H61" s="202"/>
      <c r="I61" s="195"/>
      <c r="J61" s="142"/>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77">
        <f>SUM(K37:K61)</f>
        <v>41.03</v>
      </c>
      <c r="L63" s="143"/>
    </row>
    <row r="64" spans="1:12" x14ac:dyDescent="0.2">
      <c r="B64" s="181"/>
      <c r="K64" s="162"/>
    </row>
    <row r="65" spans="2:12" x14ac:dyDescent="0.2">
      <c r="B65" s="140" t="s">
        <v>552</v>
      </c>
      <c r="K65" s="177">
        <f>K33+K63</f>
        <v>99.08</v>
      </c>
      <c r="L65" s="143"/>
    </row>
    <row r="66" spans="2:12" ht="13.5" thickBot="1" x14ac:dyDescent="0.25">
      <c r="D66" s="162" t="s">
        <v>570</v>
      </c>
      <c r="E66" s="163">
        <f>ROUND(SUM($E$33:$H$33)+$K$63,2)</f>
        <v>73.53</v>
      </c>
      <c r="F66" s="222" t="s">
        <v>362</v>
      </c>
      <c r="G66" s="222"/>
      <c r="H66" s="164">
        <f>'General Variables'!$B$11</f>
        <v>5.5E-2</v>
      </c>
      <c r="I66" s="165" t="str">
        <f>CONCATENATE("for ",TEXT('General Variables'!$B$12,"0.0")," mo.")</f>
        <v>for 6.0 mo.</v>
      </c>
      <c r="K66" s="182">
        <f>E66*H66*'General Variables'!$B$12/12</f>
        <v>2.0220750000000001</v>
      </c>
      <c r="L66" s="167"/>
    </row>
    <row r="67" spans="2:12" ht="13.5" thickTop="1" x14ac:dyDescent="0.2">
      <c r="B67" s="140" t="s">
        <v>366</v>
      </c>
      <c r="K67" s="177">
        <f>SUM(K65:K66)</f>
        <v>101.102075</v>
      </c>
      <c r="L67" s="143"/>
    </row>
    <row r="68" spans="2:12" x14ac:dyDescent="0.2">
      <c r="K68" s="162"/>
    </row>
    <row r="69" spans="2:12" x14ac:dyDescent="0.2">
      <c r="B69" s="168" t="s">
        <v>588</v>
      </c>
      <c r="C69" s="169"/>
      <c r="D69" s="169"/>
      <c r="E69" s="169"/>
      <c r="F69" s="169"/>
      <c r="G69" s="169"/>
      <c r="H69" s="169"/>
      <c r="I69" s="169"/>
      <c r="J69" s="169"/>
      <c r="K69" s="183">
        <f>'General Variables'!B14</f>
        <v>20</v>
      </c>
      <c r="L69" s="143"/>
    </row>
    <row r="70" spans="2:12" x14ac:dyDescent="0.2">
      <c r="B70" s="129" t="s">
        <v>369</v>
      </c>
      <c r="C70" s="232" t="s">
        <v>427</v>
      </c>
      <c r="D70" s="233"/>
      <c r="E70" s="234"/>
      <c r="F70" s="171">
        <f>IF(C70=0,0,VLOOKUP(C70,RETable,2,FALSE))</f>
        <v>730</v>
      </c>
      <c r="G70" s="222" t="s">
        <v>370</v>
      </c>
      <c r="H70" s="222"/>
      <c r="I70" s="164">
        <f>'General Variables'!$B$10</f>
        <v>0.04</v>
      </c>
      <c r="K70" s="184">
        <f>ROUND(F70*I70,2)</f>
        <v>29.2</v>
      </c>
      <c r="L70" s="143"/>
    </row>
    <row r="71" spans="2:12" ht="13.5" thickBot="1" x14ac:dyDescent="0.25">
      <c r="B71" s="129" t="s">
        <v>378</v>
      </c>
      <c r="F71" s="173">
        <f>IF(C70=0,0,VLOOKUP(C70,RETable,2,FALSE))</f>
        <v>730</v>
      </c>
      <c r="G71" s="221" t="s">
        <v>370</v>
      </c>
      <c r="H71" s="221"/>
      <c r="I71" s="174">
        <f>'General Variables'!$B$13</f>
        <v>0.01</v>
      </c>
      <c r="J71" s="175"/>
      <c r="K71" s="185">
        <f>ROUND(F71*I71,2)</f>
        <v>7.3</v>
      </c>
      <c r="L71" s="167"/>
    </row>
    <row r="72" spans="2:12" ht="13.5" thickTop="1" x14ac:dyDescent="0.2">
      <c r="B72" s="140" t="s">
        <v>383</v>
      </c>
      <c r="K72" s="177">
        <f>SUM(K67:K71)</f>
        <v>157.60207500000001</v>
      </c>
      <c r="L72" s="143"/>
    </row>
    <row r="73" spans="2:12" x14ac:dyDescent="0.2">
      <c r="K73" s="162"/>
    </row>
    <row r="74" spans="2:12" x14ac:dyDescent="0.2">
      <c r="B74" s="140" t="str">
        <f>"Cost per "&amp;$B$4</f>
        <v>Cost per cwt</v>
      </c>
      <c r="K74" s="177">
        <f>IF(A4="Yield",0,K72/A4)</f>
        <v>7.1637306818181825</v>
      </c>
      <c r="L74" s="143"/>
    </row>
    <row r="75" spans="2:12" x14ac:dyDescent="0.2">
      <c r="B75" s="178" t="str">
        <f>"Cash Cost per "&amp;$B$4</f>
        <v>Cash Cost per cwt</v>
      </c>
      <c r="C75" s="175"/>
      <c r="D75" s="175"/>
      <c r="E75" s="175"/>
      <c r="F75" s="175"/>
      <c r="G75" s="175"/>
      <c r="H75" s="175"/>
      <c r="I75" s="175"/>
      <c r="J75" s="175"/>
      <c r="K75" s="179">
        <f>IF(A4="Yield",0,(E66+K66)/A4)</f>
        <v>3.4341852272727276</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505</v>
      </c>
    </row>
    <row r="112" spans="2:11" x14ac:dyDescent="0.2">
      <c r="B112" s="175"/>
      <c r="C112" s="175"/>
      <c r="D112" s="175"/>
      <c r="H112" s="129" t="str">
        <f>'General Variables'!A20</f>
        <v>Corn Irrigated</v>
      </c>
      <c r="K112" s="129" t="s">
        <v>506</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46-Oats</v>
      </c>
      <c r="B2" s="138"/>
      <c r="C2" s="136" t="s">
        <v>492</v>
      </c>
      <c r="D2" s="136"/>
      <c r="E2" s="138"/>
      <c r="I2" s="189" t="s">
        <v>419</v>
      </c>
      <c r="J2" s="138"/>
      <c r="L2" s="139" t="str">
        <f>'General Variables'!A3&amp;" "&amp;'General Variables'!B3</f>
        <v>Year 2016</v>
      </c>
      <c r="O2" s="135" t="s">
        <v>407</v>
      </c>
    </row>
    <row r="3" spans="1:15" hidden="1" x14ac:dyDescent="0.2">
      <c r="A3" s="137" t="s">
        <v>549</v>
      </c>
      <c r="B3" s="138"/>
      <c r="C3" s="136"/>
      <c r="D3" s="136"/>
      <c r="E3" s="138"/>
      <c r="G3" s="136"/>
      <c r="I3" s="138" t="s">
        <v>539</v>
      </c>
      <c r="O3" s="135" t="s">
        <v>406</v>
      </c>
    </row>
    <row r="4" spans="1:15" hidden="1" x14ac:dyDescent="0.2">
      <c r="A4" s="137">
        <v>85</v>
      </c>
      <c r="B4" s="137" t="s">
        <v>56</v>
      </c>
      <c r="C4" s="136"/>
      <c r="D4" s="136"/>
      <c r="E4" s="138"/>
      <c r="F4" s="138"/>
      <c r="G4" s="138"/>
      <c r="H4" s="138"/>
      <c r="I4" s="138"/>
      <c r="J4" s="139" t="s">
        <v>504</v>
      </c>
      <c r="K4" s="140"/>
      <c r="O4" s="135" t="str">
        <f>B4</f>
        <v>bu</v>
      </c>
    </row>
    <row r="5" spans="1:15" ht="15.75" hidden="1" x14ac:dyDescent="0.25">
      <c r="A5" s="219" t="str">
        <f ca="1" xml:space="preserve"> A2  &amp; IF(C2="","",  ", " &amp;C2 ) &amp; ", " &amp; A3 &amp; ", " &amp; I2</f>
        <v>46-Oats, No-Till, 90 bu Yield Goal, Dryland</v>
      </c>
      <c r="B5" s="219"/>
      <c r="C5" s="219"/>
      <c r="D5" s="219"/>
      <c r="E5" s="219"/>
      <c r="F5" s="219"/>
      <c r="G5" s="219"/>
      <c r="H5" s="219"/>
      <c r="I5" s="219"/>
      <c r="J5" s="219"/>
      <c r="K5" s="219"/>
      <c r="L5" s="219"/>
      <c r="O5" s="135"/>
    </row>
    <row r="6" spans="1:15" ht="15.75" hidden="1" x14ac:dyDescent="0.25">
      <c r="A6" s="194"/>
      <c r="B6" s="194"/>
      <c r="C6" s="194"/>
      <c r="D6" s="194"/>
      <c r="E6" s="194"/>
      <c r="F6" s="194"/>
      <c r="G6" s="194"/>
      <c r="H6" s="194"/>
      <c r="I6" s="194"/>
      <c r="J6" s="194"/>
      <c r="K6" s="194"/>
      <c r="L6" s="194"/>
      <c r="O6" s="135"/>
    </row>
    <row r="7" spans="1:15" ht="30" customHeight="1" x14ac:dyDescent="0.25">
      <c r="A7" s="219" t="str">
        <f ca="1">'General Variables'!B3 &amp; " Budget "  &amp; A2 &amp;", "  &amp; IF(C2=0,"", " " &amp; C2 &amp; ", ") &amp;  A3 &amp; IF(A4=""," ", " (") &amp; A4 &amp; " " &amp; B4 &amp; IF(A4="",""," Actual Yield)")</f>
        <v>2016 Budget 46-Oats,  No-Till, 90 bu Yield Goal (85 bu Actual Yield)</v>
      </c>
      <c r="B7" s="219"/>
      <c r="C7" s="219"/>
      <c r="D7" s="219"/>
      <c r="E7" s="219"/>
      <c r="F7" s="219"/>
      <c r="G7" s="219"/>
      <c r="H7" s="219"/>
      <c r="I7" s="219"/>
      <c r="J7" s="219"/>
      <c r="K7" s="219"/>
      <c r="L7" s="219"/>
      <c r="O7" s="135"/>
    </row>
    <row r="8" spans="1:15" ht="15.75" x14ac:dyDescent="0.25">
      <c r="A8" s="141" t="str">
        <f>IF(I2="Dryland","Dryland",I2 &amp; IF(J2="","",", "&amp;J2)&amp;IF(H3="","",", "&amp;H3&amp;" "&amp;I3))</f>
        <v>Dryland</v>
      </c>
      <c r="B8" s="137"/>
      <c r="C8" s="136"/>
      <c r="D8" s="136"/>
      <c r="E8" s="138"/>
      <c r="F8" s="138"/>
      <c r="G8" s="138"/>
      <c r="H8" s="138"/>
      <c r="I8" s="138"/>
      <c r="O8" s="135"/>
    </row>
    <row r="10" spans="1:15" s="140" customFormat="1" ht="22.5" customHeight="1" x14ac:dyDescent="0.2">
      <c r="B10" s="228" t="s">
        <v>71</v>
      </c>
      <c r="C10" s="227" t="s">
        <v>1</v>
      </c>
      <c r="D10" s="198"/>
      <c r="E10" s="227" t="str">
        <f>"Labor @ $" &amp;TEXT('General Variables'!B4,"#.00")&amp; " /Hr"</f>
        <v>Labor @ $20.00 /Hr</v>
      </c>
      <c r="F10" s="227" t="str">
        <f>"Fuel @ $" &amp; TEXT('General Variables'!B5,"#.00") &amp; " and Lube"</f>
        <v>Fuel @ $2.25 and Lube</v>
      </c>
      <c r="G10" s="230" t="s">
        <v>72</v>
      </c>
      <c r="H10" s="230"/>
      <c r="I10" s="230" t="s">
        <v>354</v>
      </c>
      <c r="J10" s="230"/>
      <c r="K10" s="230" t="s">
        <v>2</v>
      </c>
      <c r="L10" s="227" t="s">
        <v>361</v>
      </c>
    </row>
    <row r="11" spans="1:15" s="140" customFormat="1" ht="21.75" customHeight="1" thickBot="1" x14ac:dyDescent="0.25">
      <c r="B11" s="229"/>
      <c r="C11" s="226"/>
      <c r="D11" s="197" t="s">
        <v>70</v>
      </c>
      <c r="E11" s="226"/>
      <c r="F11" s="226"/>
      <c r="G11" s="199" t="s">
        <v>73</v>
      </c>
      <c r="H11" s="199" t="s">
        <v>75</v>
      </c>
      <c r="I11" s="199" t="s">
        <v>73</v>
      </c>
      <c r="J11" s="199" t="s">
        <v>75</v>
      </c>
      <c r="K11" s="231"/>
      <c r="L11" s="226"/>
    </row>
    <row r="12" spans="1:15" ht="13.5" thickTop="1" x14ac:dyDescent="0.2">
      <c r="A12" s="196">
        <v>1</v>
      </c>
      <c r="B12" s="204" t="s">
        <v>499</v>
      </c>
      <c r="C12" s="206">
        <v>1</v>
      </c>
      <c r="D12" s="200"/>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0.19</v>
      </c>
      <c r="I12" s="142">
        <f>IF(B12=0,0,IF(C12&gt;9999,"",ROUND(VLOOKUP(VLOOKUP(B12,Operations!$A$2:$U$101,11,FALSE),PowerUnits[],16,FALSE)/VLOOKUP(B12,Operations!$A$2:$U$101,9,FALSE)*C12,2)))</f>
        <v>1.1100000000000001</v>
      </c>
      <c r="J12" s="142">
        <f>IF(B12=0,"",IF(C12&gt;9999,"",ROUND(VLOOKUP($B12,Operations!$A$2:$U$101,21,FALSE)*$C12,2)))</f>
        <v>2.21</v>
      </c>
      <c r="K12" s="142">
        <f>IF(C12&gt;9999,"",ROUND(SUM(E12:J12),2))</f>
        <v>5.1100000000000003</v>
      </c>
      <c r="L12" s="143"/>
    </row>
    <row r="13" spans="1:15" x14ac:dyDescent="0.2">
      <c r="A13" s="196">
        <v>2</v>
      </c>
      <c r="B13" s="204" t="s">
        <v>285</v>
      </c>
      <c r="C13" s="206">
        <v>1</v>
      </c>
      <c r="D13" s="200"/>
      <c r="E13" s="142">
        <f>IF(B13=0,"",IF(C13&gt;9999,"",ROUND('General Variables'!$B$4*VLOOKUP(B13,Operations!$A$2:$U$101,10,FALSE)/VLOOKUP(B13,Operations!$A$2:$U$101,9,FALSE)*C13,2)))</f>
        <v>1.83</v>
      </c>
      <c r="F13" s="142">
        <f>IF(B13=0,0,IF(C13&gt;9999,"",ROUND(IF(VLOOKUP(B13,Operations!$A$2:$U$101,12,FALSE)=0,VLOOKUP(B13,Operations!$A$2:$U$101,13,FALSE)*'General Variables'!$B$8,VLOOKUP(B13,Operations!$A$2:$U$101,12,FALSE)*'General Variables'!$B$7)/VLOOKUP(B13,Operations!$A$2:$U$101,9,FALSE)*C13,2)))</f>
        <v>1.31</v>
      </c>
      <c r="G13" s="142">
        <f>IF(B13=0,0,IF(C13&gt;9999,"",ROUND(VLOOKUP(VLOOKUP(B13,Operations!$A$2:$U$101,11,FALSE),PowerUnits[],10,FALSE)/VLOOKUP(B13,Operations!$A$2:$U$101,9,FALSE)*C13,2)))</f>
        <v>0.69</v>
      </c>
      <c r="H13" s="142">
        <f>IF(B13=0,"",IF(C13&gt;9999,"",ROUND(VLOOKUP($B13,Operations!$A$2:$U$101,15,FALSE)*C13,2)))</f>
        <v>1.57</v>
      </c>
      <c r="I13" s="142">
        <f>IF(B13=0,0,IF(C13&gt;9999,"",ROUND(VLOOKUP(VLOOKUP(B13,Operations!$A$2:$U$101,11,FALSE),PowerUnits[],16,FALSE)/VLOOKUP(B13,Operations!$A$2:$U$101,9,FALSE)*C13,2)))</f>
        <v>2.2999999999999998</v>
      </c>
      <c r="J13" s="142">
        <f>IF(B13=0,"",IF(C13&gt;9999,"",ROUND(VLOOKUP($B13,Operations!$A$2:$U$101,21,FALSE)*$C13,2)))</f>
        <v>3.54</v>
      </c>
      <c r="K13" s="142">
        <f t="shared" ref="K13:K31" si="0">IF(C13&gt;9999,"",ROUND(SUM(E13:J13),2))</f>
        <v>11.24</v>
      </c>
      <c r="L13" s="143"/>
    </row>
    <row r="14" spans="1:15" x14ac:dyDescent="0.2">
      <c r="A14" s="196">
        <v>3</v>
      </c>
      <c r="B14" s="204" t="s">
        <v>51</v>
      </c>
      <c r="C14" s="206">
        <v>1</v>
      </c>
      <c r="D14" s="200"/>
      <c r="E14" s="142">
        <f>IF(B14=0,"",IF(C14&gt;9999,"",ROUND('General Variables'!$B$4*VLOOKUP(B14,Operations!$A$2:$U$101,10,FALSE)/VLOOKUP(B14,Operations!$A$2:$U$101,9,FALSE)*C14,2)))</f>
        <v>1</v>
      </c>
      <c r="F14" s="142">
        <f>IF(B14=0,0,IF(C14&gt;9999,"",ROUND(IF(VLOOKUP(B14,Operations!$A$2:$U$101,12,FALSE)=0,VLOOKUP(B14,Operations!$A$2:$U$101,13,FALSE)*'General Variables'!$B$8,VLOOKUP(B14,Operations!$A$2:$U$101,12,FALSE)*'General Variables'!$B$7)/VLOOKUP(B14,Operations!$A$2:$U$101,9,FALSE)*C14,2)))</f>
        <v>0.27</v>
      </c>
      <c r="G14" s="142">
        <f>IF(B14=0,0,IF(C14&gt;9999,"",ROUND(VLOOKUP(VLOOKUP(B14,Operations!$A$2:$U$101,11,FALSE),PowerUnits[],10,FALSE)/VLOOKUP(B14,Operations!$A$2:$U$101,9,FALSE)*C14,2)))</f>
        <v>0.33</v>
      </c>
      <c r="H14" s="142">
        <f>IF(B14=0,"",IF(C14&gt;9999,"",ROUND(VLOOKUP($B14,Operations!$A$2:$U$101,15,FALSE)*C14,2)))</f>
        <v>0.64</v>
      </c>
      <c r="I14" s="142">
        <f>IF(B14=0,0,IF(C14&gt;9999,"",ROUND(VLOOKUP(VLOOKUP(B14,Operations!$A$2:$U$101,11,FALSE),PowerUnits[],16,FALSE)/VLOOKUP(B14,Operations!$A$2:$U$101,9,FALSE)*C14,2)))</f>
        <v>1.1100000000000001</v>
      </c>
      <c r="J14" s="142">
        <f>IF(B14=0,"",IF(C14&gt;9999,"",ROUND(VLOOKUP($B14,Operations!$A$2:$U$101,21,FALSE)*$C14,2)))</f>
        <v>0.88</v>
      </c>
      <c r="K14" s="142">
        <f t="shared" si="0"/>
        <v>4.2300000000000004</v>
      </c>
      <c r="L14" s="143"/>
    </row>
    <row r="15" spans="1:15" x14ac:dyDescent="0.2">
      <c r="A15" s="196">
        <v>4</v>
      </c>
      <c r="B15" s="204" t="s">
        <v>490</v>
      </c>
      <c r="C15" s="206">
        <v>1</v>
      </c>
      <c r="D15" s="200"/>
      <c r="E15" s="142">
        <f>IF(B15=0,"",IF(C15&gt;9999,"",ROUND('General Variables'!$B$4*VLOOKUP(B15,Operations!$A$2:$U$101,10,FALSE)/VLOOKUP(B15,Operations!$A$2:$U$101,9,FALSE)*C15,2)))</f>
        <v>3.14</v>
      </c>
      <c r="F15" s="142">
        <f>IF(B15=0,0,IF(C15&gt;9999,"",ROUND(IF(VLOOKUP(B15,Operations!$A$2:$U$101,12,FALSE)=0,VLOOKUP(B15,Operations!$A$2:$U$101,13,FALSE)*'General Variables'!$B$8,VLOOKUP(B15,Operations!$A$2:$U$101,12,FALSE)*'General Variables'!$B$7)/VLOOKUP(B15,Operations!$A$2:$U$101,9,FALSE)*C15,2)))</f>
        <v>3.87</v>
      </c>
      <c r="G15" s="142">
        <f>IF(B15=0,0,IF(C15&gt;9999,"",ROUND(VLOOKUP(VLOOKUP(B15,Operations!$A$2:$U$101,11,FALSE),PowerUnits[],10,FALSE)/VLOOKUP(B15,Operations!$A$2:$U$101,9,FALSE)*C15,2)))</f>
        <v>7.31</v>
      </c>
      <c r="H15" s="142">
        <f>IF(B15=0,"",IF(C15&gt;9999,"",ROUND(VLOOKUP($B15,Operations!$A$2:$U$101,15,FALSE)*C15,2)))</f>
        <v>0.93</v>
      </c>
      <c r="I15" s="142">
        <f>IF(B15=0,0,IF(C15&gt;9999,"",ROUND(VLOOKUP(VLOOKUP(B15,Operations!$A$2:$U$101,11,FALSE),PowerUnits[],16,FALSE)/VLOOKUP(B15,Operations!$A$2:$U$101,9,FALSE)*C15,2)))</f>
        <v>5.99</v>
      </c>
      <c r="J15" s="142">
        <f>IF(B15=0,"",IF(C15&gt;9999,"",ROUND(VLOOKUP($B15,Operations!$A$2:$U$101,21,FALSE)*$C15,2)))</f>
        <v>2.81</v>
      </c>
      <c r="K15" s="142">
        <f t="shared" si="0"/>
        <v>24.05</v>
      </c>
      <c r="L15" s="143"/>
    </row>
    <row r="16" spans="1:15" x14ac:dyDescent="0.2">
      <c r="A16" s="196">
        <v>5</v>
      </c>
      <c r="B16" s="204" t="s">
        <v>298</v>
      </c>
      <c r="C16" s="206" t="s">
        <v>3</v>
      </c>
      <c r="D16" s="200"/>
      <c r="E16" s="142" t="str">
        <f>IF(B16=0,"",IF(C16&gt;9999,"",ROUND('General Variables'!$B$4*VLOOKUP(B16,Operations!$A$2:$U$101,10,FALSE)/VLOOKUP(B16,Operations!$A$2:$U$101,9,FALSE)*C16,2)))</f>
        <v/>
      </c>
      <c r="F16" s="142" t="str">
        <f>IF(B16=0,0,IF(C16&gt;9999,"",ROUND(IF(VLOOKUP(B16,Operations!$A$2:$U$101,12,FALSE)=0,VLOOKUP(B16,Operations!$A$2:$U$101,13,FALSE)*'General Variables'!$B$8,VLOOKUP(B16,Operations!$A$2:$U$101,12,FALSE)*'General Variables'!$B$7)/VLOOKUP(B16,Operations!$A$2:$U$101,9,FALSE)*C16,2)))</f>
        <v/>
      </c>
      <c r="G16" s="142" t="str">
        <f>IF(B16=0,0,IF(C16&gt;9999,"",ROUND(VLOOKUP(VLOOKUP(B16,Operations!$A$2:$U$101,11,FALSE),PowerUnits[],10,FALSE)/VLOOKUP(B16,Operations!$A$2:$U$101,9,FALSE)*C16,2)))</f>
        <v/>
      </c>
      <c r="H16" s="142" t="str">
        <f>IF(B16=0,"",IF(C16&gt;9999,"",ROUND(VLOOKUP($B16,Operations!$A$2:$U$101,15,FALSE)*C16,2)))</f>
        <v/>
      </c>
      <c r="I16" s="142" t="str">
        <f>IF(B16=0,0,IF(C16&gt;9999,"",ROUND(VLOOKUP(VLOOKUP(B16,Operations!$A$2:$U$101,11,FALSE),PowerUnits[],16,FALSE)/VLOOKUP(B16,Operations!$A$2:$U$101,9,FALSE)*C16,2)))</f>
        <v/>
      </c>
      <c r="J16" s="142" t="str">
        <f>IF(B16=0,"",IF(C16&gt;9999,"",ROUND(VLOOKUP($B16,Operations!$A$2:$U$101,21,FALSE)*$C16,2)))</f>
        <v/>
      </c>
      <c r="K16" s="142" t="str">
        <f t="shared" si="0"/>
        <v/>
      </c>
      <c r="L16" s="143"/>
    </row>
    <row r="17" spans="1:12" hidden="1" x14ac:dyDescent="0.2">
      <c r="A17" s="196">
        <v>6</v>
      </c>
      <c r="B17" s="204"/>
      <c r="C17" s="205"/>
      <c r="D17" s="200"/>
      <c r="E17" s="142" t="str">
        <f>IF(B17=0,"",IF(C17&gt;9999,"",ROUND('General Variables'!$B$4*VLOOKUP(B17,Operations!$A$2:$U$101,10,FALSE)/VLOOKUP(B17,Operations!$A$2:$U$101,9,FALSE)*C17,2)))</f>
        <v/>
      </c>
      <c r="F17" s="142">
        <f>IF(B17=0,0,IF(C17&gt;9999,"",ROUND(IF(VLOOKUP(B17,Operations!$A$2:$U$101,12,FALSE)=0,VLOOKUP(B17,Operations!$A$2:$U$101,13,FALSE)*'General Variables'!$B$8,VLOOKUP(B17,Operations!$A$2:$U$101,12,FALSE)*'General Variables'!$B$7)/VLOOKUP(B17,Operations!$A$2:$U$101,9,FALSE)*C17,2)))</f>
        <v>0</v>
      </c>
      <c r="G17" s="142">
        <f>IF(B17=0,0,IF(C17&gt;9999,"",ROUND(VLOOKUP(VLOOKUP(B17,Operations!$A$2:$U$101,11,FALSE),PowerUnits[],10,FALSE)/VLOOKUP(B17,Operations!$A$2:$U$101,9,FALSE)*C17,2)))</f>
        <v>0</v>
      </c>
      <c r="H17" s="142" t="str">
        <f>IF(B17=0,"",IF(C17&gt;9999,"",ROUND(VLOOKUP($B17,Operations!$A$2:$U$101,15,FALSE)*C17,2)))</f>
        <v/>
      </c>
      <c r="I17" s="142">
        <f>IF(B17=0,0,IF(C17&gt;9999,"",ROUND(VLOOKUP(VLOOKUP(B17,Operations!$A$2:$U$101,11,FALSE),PowerUnits[],16,FALSE)/VLOOKUP(B17,Operations!$A$2:$U$101,9,FALSE)*C17,2)))</f>
        <v>0</v>
      </c>
      <c r="J17" s="142" t="str">
        <f>IF(B17=0,"",IF(C17&gt;9999,"",ROUND(VLOOKUP($B17,Operations!$A$2:$U$101,21,FALSE)*$C17,2)))</f>
        <v/>
      </c>
      <c r="K17" s="142">
        <f>IF(C17&gt;9999,"",ROUND(SUM(E17:J17),2))</f>
        <v>0</v>
      </c>
      <c r="L17" s="143"/>
    </row>
    <row r="18" spans="1:12" hidden="1" x14ac:dyDescent="0.2">
      <c r="A18" s="196">
        <v>7</v>
      </c>
      <c r="B18" s="204"/>
      <c r="C18" s="205"/>
      <c r="D18" s="200"/>
      <c r="E18" s="142" t="str">
        <f>IF(B18=0,"",IF(C18&gt;9999,"",ROUND('General Variables'!$B$4*VLOOKUP(B18,Operations!$A$2:$U$101,10,FALSE)/VLOOKUP(B18,Operations!$A$2:$U$101,9,FALSE)*C18,2)))</f>
        <v/>
      </c>
      <c r="F18" s="142">
        <f>IF(B18=0,0,IF(C18&gt;9999,"",ROUND(IF(VLOOKUP(B18,Operations!$A$2:$U$101,12,FALSE)=0,VLOOKUP(B18,Operations!$A$2:$U$101,13,FALSE)*'General Variables'!$B$8,VLOOKUP(B18,Operations!$A$2:$U$101,12,FALSE)*'General Variables'!$B$7)/VLOOKUP(B18,Operations!$A$2:$U$101,9,FALSE)*C18,2)))</f>
        <v>0</v>
      </c>
      <c r="G18" s="142">
        <f>IF(B18=0,0,IF(C18&gt;9999,"",ROUND(VLOOKUP(VLOOKUP(B18,Operations!$A$2:$U$101,11,FALSE),PowerUnits[],10,FALSE)/VLOOKUP(B18,Operations!$A$2:$U$101,9,FALSE)*C18,2)))</f>
        <v>0</v>
      </c>
      <c r="H18" s="142" t="str">
        <f>IF(B18=0,"",IF(C18&gt;9999,"",ROUND(VLOOKUP($B18,Operations!$A$2:$U$101,15,FALSE)*C18,2)))</f>
        <v/>
      </c>
      <c r="I18" s="142">
        <f>IF(B18=0,0,IF(C18&gt;9999,"",ROUND(VLOOKUP(VLOOKUP(B18,Operations!$A$2:$U$101,11,FALSE),PowerUnits[],16,FALSE)/VLOOKUP(B18,Operations!$A$2:$U$101,9,FALSE)*C18,2)))</f>
        <v>0</v>
      </c>
      <c r="J18" s="142" t="str">
        <f>IF(B18=0,"",IF(C18&gt;9999,"",ROUND(VLOOKUP($B18,Operations!$A$2:$U$101,21,FALSE)*$C18,2)))</f>
        <v/>
      </c>
      <c r="K18" s="142">
        <f>IF(C18&gt;9999,"",ROUND(SUM(E18:J18),2))</f>
        <v>0</v>
      </c>
      <c r="L18" s="143"/>
    </row>
    <row r="19" spans="1:12" hidden="1" x14ac:dyDescent="0.2">
      <c r="A19" s="196">
        <v>8</v>
      </c>
      <c r="B19" s="203"/>
      <c r="C19" s="205"/>
      <c r="D19" s="200"/>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6">
        <v>9</v>
      </c>
      <c r="B20" s="203"/>
      <c r="C20" s="205"/>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6">
        <v>10</v>
      </c>
      <c r="B21" s="203"/>
      <c r="C21" s="205"/>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6">
        <v>11</v>
      </c>
      <c r="B22" s="203"/>
      <c r="C22" s="205"/>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6">
        <v>12</v>
      </c>
      <c r="B23" s="203"/>
      <c r="C23" s="205"/>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6">
        <v>13</v>
      </c>
      <c r="B24" s="203"/>
      <c r="C24" s="205"/>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6">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6">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6">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6">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6">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6">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6">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6"/>
      <c r="B32" s="146"/>
      <c r="C32" s="147"/>
      <c r="D32" s="147"/>
      <c r="E32" s="148"/>
      <c r="F32" s="148"/>
      <c r="G32" s="148"/>
      <c r="H32" s="148"/>
      <c r="I32" s="148"/>
      <c r="J32" s="148"/>
      <c r="K32" s="148"/>
      <c r="L32" s="149"/>
    </row>
    <row r="33" spans="1:12" ht="13.5" thickTop="1" x14ac:dyDescent="0.2">
      <c r="C33" s="139" t="s">
        <v>74</v>
      </c>
      <c r="D33" s="139"/>
      <c r="E33" s="150">
        <f>SUM(E12:E31)</f>
        <v>6.9700000000000006</v>
      </c>
      <c r="F33" s="150">
        <f t="shared" ref="F33:K33" si="1">SUM(F12:F31)</f>
        <v>5.7200000000000006</v>
      </c>
      <c r="G33" s="150">
        <f t="shared" si="1"/>
        <v>8.66</v>
      </c>
      <c r="H33" s="150">
        <f t="shared" si="1"/>
        <v>3.33</v>
      </c>
      <c r="I33" s="150">
        <f t="shared" si="1"/>
        <v>10.510000000000002</v>
      </c>
      <c r="J33" s="150">
        <f t="shared" si="1"/>
        <v>9.44</v>
      </c>
      <c r="K33" s="150">
        <f t="shared" si="1"/>
        <v>44.63</v>
      </c>
      <c r="L33" s="143"/>
    </row>
    <row r="35" spans="1:12" ht="24" customHeight="1" thickBot="1" x14ac:dyDescent="0.25">
      <c r="B35" s="136"/>
      <c r="C35" s="136"/>
      <c r="D35" s="136"/>
      <c r="E35" s="136"/>
      <c r="F35" s="226" t="s">
        <v>85</v>
      </c>
      <c r="G35" s="226" t="s">
        <v>82</v>
      </c>
      <c r="H35" s="227" t="s">
        <v>86</v>
      </c>
      <c r="I35" s="227"/>
      <c r="J35" s="226" t="s">
        <v>62</v>
      </c>
      <c r="L35" s="227" t="s">
        <v>361</v>
      </c>
    </row>
    <row r="36" spans="1:12" s="151" customFormat="1" ht="18.75" customHeight="1" thickTop="1" thickBot="1" x14ac:dyDescent="0.25">
      <c r="B36" s="152" t="s">
        <v>81</v>
      </c>
      <c r="C36" s="197"/>
      <c r="D36" s="197"/>
      <c r="E36" s="197"/>
      <c r="F36" s="226"/>
      <c r="G36" s="226"/>
      <c r="H36" s="190" t="s">
        <v>87</v>
      </c>
      <c r="I36" s="191" t="s">
        <v>70</v>
      </c>
      <c r="J36" s="226"/>
      <c r="K36" s="197" t="s">
        <v>83</v>
      </c>
      <c r="L36" s="226"/>
    </row>
    <row r="37" spans="1:12" ht="13.5" thickTop="1" x14ac:dyDescent="0.2">
      <c r="A37" s="175"/>
      <c r="B37" s="204" t="s">
        <v>13</v>
      </c>
      <c r="C37" s="220" t="str">
        <f>IF(B37=0,"",VLOOKUP($B37,Materials!$B$2:$H$127,2,FALSE))</f>
        <v>Fertilizer</v>
      </c>
      <c r="D37" s="220"/>
      <c r="E37" s="220"/>
      <c r="F37" s="206">
        <v>1</v>
      </c>
      <c r="G37" s="211">
        <v>1</v>
      </c>
      <c r="H37" s="210">
        <v>100</v>
      </c>
      <c r="I37" s="153" t="str">
        <f>IF($B37=0,"",VLOOKUP($B37,Materials!$B$2:$H$127,5,FALSE))</f>
        <v>lbs N</v>
      </c>
      <c r="J37" s="142">
        <f>IF($B37=0,"",VLOOKUP($B37,Materials!$B$2:$H$127,7,FALSE))</f>
        <v>0.46666666666666662</v>
      </c>
      <c r="K37" s="150">
        <f>IF(B37=0,0,ROUND(G37*H37*J37,2))</f>
        <v>46.67</v>
      </c>
      <c r="L37" s="143"/>
    </row>
    <row r="38" spans="1:12" x14ac:dyDescent="0.2">
      <c r="A38" s="175"/>
      <c r="B38" s="204" t="s">
        <v>42</v>
      </c>
      <c r="C38" s="220" t="str">
        <f>IF(B38=0,"",VLOOKUP($B38,Materials!$B$2:$H$127,2,FALSE))</f>
        <v>Seed</v>
      </c>
      <c r="D38" s="220"/>
      <c r="E38" s="220"/>
      <c r="F38" s="206">
        <v>2</v>
      </c>
      <c r="G38" s="211">
        <v>1</v>
      </c>
      <c r="H38" s="210">
        <v>2</v>
      </c>
      <c r="I38" s="153" t="str">
        <f>IF($B38=0,"",VLOOKUP($B38,Materials!$B$2:$H$127,5,FALSE))</f>
        <v>bushel</v>
      </c>
      <c r="J38" s="142">
        <f>IF($B38=0,"",VLOOKUP($B38,Materials!$B$2:$H$127,7,FALSE))</f>
        <v>9</v>
      </c>
      <c r="K38" s="150">
        <f t="shared" ref="K38:K55" si="2">IF(B38=0,0,ROUND(G38*H38*J38,2))</f>
        <v>18</v>
      </c>
      <c r="L38" s="143"/>
    </row>
    <row r="39" spans="1:12" x14ac:dyDescent="0.2">
      <c r="A39" s="175"/>
      <c r="B39" s="204" t="s">
        <v>6</v>
      </c>
      <c r="C39" s="220" t="str">
        <f>IF(B39=0,"",VLOOKUP($B39,Materials!$B$2:$H$127,2,FALSE))</f>
        <v>Fertilizer</v>
      </c>
      <c r="D39" s="220"/>
      <c r="E39" s="220"/>
      <c r="F39" s="206">
        <v>2</v>
      </c>
      <c r="G39" s="211">
        <v>1</v>
      </c>
      <c r="H39" s="210">
        <v>6</v>
      </c>
      <c r="I39" s="153" t="str">
        <f>IF($B39=0,"",VLOOKUP($B39,Materials!$B$2:$H$127,5,FALSE))</f>
        <v>gallon</v>
      </c>
      <c r="J39" s="142">
        <f>IF($B39=0,"",VLOOKUP($B39,Materials!$B$2:$H$127,7,FALSE))</f>
        <v>2.8</v>
      </c>
      <c r="K39" s="150">
        <f t="shared" si="2"/>
        <v>16.8</v>
      </c>
      <c r="L39" s="143"/>
    </row>
    <row r="40" spans="1:12" x14ac:dyDescent="0.2">
      <c r="A40" s="175"/>
      <c r="B40" s="204" t="s">
        <v>418</v>
      </c>
      <c r="C40" s="220" t="str">
        <f>IF(B40=0,"",VLOOKUP($B40,Materials!$B$2:$H$127,2,FALSE))</f>
        <v>Herbicide</v>
      </c>
      <c r="D40" s="220"/>
      <c r="E40" s="220"/>
      <c r="F40" s="206">
        <v>3</v>
      </c>
      <c r="G40" s="211">
        <v>1</v>
      </c>
      <c r="H40" s="210">
        <v>0.5</v>
      </c>
      <c r="I40" s="153" t="str">
        <f>IF($B40=0,"",VLOOKUP($B40,Materials!$B$2:$H$127,5,FALSE))</f>
        <v>ounce</v>
      </c>
      <c r="J40" s="142">
        <f>IF($B40=0,"",VLOOKUP($B40,Materials!$B$2:$H$127,7,FALSE))</f>
        <v>6.25</v>
      </c>
      <c r="K40" s="150">
        <f t="shared" si="2"/>
        <v>3.13</v>
      </c>
      <c r="L40" s="143"/>
    </row>
    <row r="41" spans="1:12" x14ac:dyDescent="0.2">
      <c r="A41" s="175"/>
      <c r="B41" s="204" t="s">
        <v>12</v>
      </c>
      <c r="C41" s="220" t="str">
        <f>IF(B41=0,"",VLOOKUP($B41,Materials!$B$2:$H$127,2,FALSE))</f>
        <v>Herbicide</v>
      </c>
      <c r="D41" s="220"/>
      <c r="E41" s="220"/>
      <c r="F41" s="206">
        <v>3</v>
      </c>
      <c r="G41" s="211">
        <v>1</v>
      </c>
      <c r="H41" s="210">
        <v>0.5</v>
      </c>
      <c r="I41" s="153" t="str">
        <f>IF($B41=0,"",VLOOKUP($B41,Materials!$B$2:$H$127,5,FALSE))</f>
        <v>pint</v>
      </c>
      <c r="J41" s="142">
        <f>IF($B41=0,"",VLOOKUP($B41,Materials!$B$2:$H$127,7,FALSE))</f>
        <v>2.5625</v>
      </c>
      <c r="K41" s="150">
        <f t="shared" si="2"/>
        <v>1.28</v>
      </c>
      <c r="L41" s="143"/>
    </row>
    <row r="42" spans="1:12" x14ac:dyDescent="0.2">
      <c r="A42" s="175"/>
      <c r="B42" s="204" t="s">
        <v>41</v>
      </c>
      <c r="C42" s="220" t="str">
        <f>IF(B42=0,"",VLOOKUP($B42,Materials!$B$2:$H$127,2,FALSE))</f>
        <v>Additive</v>
      </c>
      <c r="D42" s="220"/>
      <c r="E42" s="220"/>
      <c r="F42" s="206">
        <v>3</v>
      </c>
      <c r="G42" s="211">
        <v>1</v>
      </c>
      <c r="H42" s="210">
        <v>6</v>
      </c>
      <c r="I42" s="153" t="str">
        <f>IF($B42=0,"",VLOOKUP($B42,Materials!$B$2:$H$127,5,FALSE))</f>
        <v>ounce</v>
      </c>
      <c r="J42" s="142">
        <f>IF($B42=0,"",VLOOKUP($B42,Materials!$B$2:$H$127,7,FALSE))</f>
        <v>0.171875</v>
      </c>
      <c r="K42" s="150">
        <f t="shared" si="2"/>
        <v>1.03</v>
      </c>
      <c r="L42" s="143"/>
    </row>
    <row r="43" spans="1:12" x14ac:dyDescent="0.2">
      <c r="A43" s="180"/>
      <c r="B43" s="204" t="s">
        <v>578</v>
      </c>
      <c r="C43" s="220" t="str">
        <f>IF(B43=0,"",VLOOKUP($B43,Materials!$B$2:$H$127,2,FALSE))</f>
        <v>Custom</v>
      </c>
      <c r="D43" s="220"/>
      <c r="E43" s="220"/>
      <c r="F43" s="206">
        <v>5</v>
      </c>
      <c r="G43" s="211">
        <v>1</v>
      </c>
      <c r="H43" s="210">
        <f>A4</f>
        <v>85</v>
      </c>
      <c r="I43" s="153" t="str">
        <f>IF($B43=0,"",VLOOKUP($B43,Materials!$B$2:$H$127,5,FALSE))</f>
        <v>bushel</v>
      </c>
      <c r="J43" s="142">
        <f>IF($B43=0,"",VLOOKUP($B43,Materials!$B$2:$H$127,7,FALSE))</f>
        <v>0.11</v>
      </c>
      <c r="K43" s="150">
        <f t="shared" si="2"/>
        <v>9.35</v>
      </c>
      <c r="L43" s="143"/>
    </row>
    <row r="44" spans="1:12" hidden="1" x14ac:dyDescent="0.2">
      <c r="A44" s="180"/>
      <c r="B44" s="204"/>
      <c r="C44" s="220" t="str">
        <f>IF(B44=0,"",VLOOKUP($B44,Materials!$B$2:$H$127,2,FALSE))</f>
        <v/>
      </c>
      <c r="D44" s="220"/>
      <c r="E44" s="220"/>
      <c r="F44" s="206"/>
      <c r="G44" s="211"/>
      <c r="H44" s="210"/>
      <c r="I44" s="153" t="str">
        <f>IF($B44=0,"",VLOOKUP($B44,Materials!$B$2:$H$127,5,FALSE))</f>
        <v/>
      </c>
      <c r="J44" s="142" t="str">
        <f>IF($B44=0,"",VLOOKUP($B44,Materials!$B$2:$H$127,7,FALSE))</f>
        <v/>
      </c>
      <c r="K44" s="150">
        <f t="shared" si="2"/>
        <v>0</v>
      </c>
      <c r="L44" s="143"/>
    </row>
    <row r="45" spans="1:12" hidden="1" x14ac:dyDescent="0.2">
      <c r="A45" s="180"/>
      <c r="B45" s="203"/>
      <c r="C45" s="220" t="str">
        <f>IF(B45=0,"",VLOOKUP($B45,Materials!$B$2:$H$127,2,FALSE))</f>
        <v/>
      </c>
      <c r="D45" s="220"/>
      <c r="E45" s="220"/>
      <c r="F45" s="205"/>
      <c r="G45" s="207"/>
      <c r="H45" s="208"/>
      <c r="I45" s="153" t="str">
        <f>IF($B45=0,"",VLOOKUP($B45,Materials!$B$2:$H$127,5,FALSE))</f>
        <v/>
      </c>
      <c r="J45" s="142" t="str">
        <f>IF($B45=0,"",VLOOKUP($B45,Materials!$B$2:$H$127,7,FALSE))</f>
        <v/>
      </c>
      <c r="K45" s="150">
        <f t="shared" si="2"/>
        <v>0</v>
      </c>
      <c r="L45" s="143"/>
    </row>
    <row r="46" spans="1:12" hidden="1" x14ac:dyDescent="0.2">
      <c r="A46" s="180"/>
      <c r="B46" s="203"/>
      <c r="C46" s="220" t="str">
        <f>IF(B46=0,"",VLOOKUP($B46,Materials!$B$2:$H$127,2,FALSE))</f>
        <v/>
      </c>
      <c r="D46" s="220"/>
      <c r="E46" s="220"/>
      <c r="F46" s="205"/>
      <c r="G46" s="207"/>
      <c r="H46" s="208"/>
      <c r="I46" s="153" t="str">
        <f>IF($B46=0,"",VLOOKUP($B46,Materials!$B$2:$H$127,5,FALSE))</f>
        <v/>
      </c>
      <c r="J46" s="142" t="str">
        <f>IF($B46=0,"",VLOOKUP($B46,Materials!$B$2:$H$127,7,FALSE))</f>
        <v/>
      </c>
      <c r="K46" s="150">
        <f t="shared" si="2"/>
        <v>0</v>
      </c>
      <c r="L46" s="143"/>
    </row>
    <row r="47" spans="1:12" hidden="1" x14ac:dyDescent="0.2">
      <c r="A47" s="180"/>
      <c r="B47" s="203"/>
      <c r="C47" s="220" t="str">
        <f>IF(B47=0,"",VLOOKUP($B47,Materials!$B$2:$H$127,2,FALSE))</f>
        <v/>
      </c>
      <c r="D47" s="220"/>
      <c r="E47" s="220"/>
      <c r="F47" s="205"/>
      <c r="G47" s="207"/>
      <c r="H47" s="208"/>
      <c r="I47" s="153" t="str">
        <f>IF($B47=0,"",VLOOKUP($B47,Materials!$B$2:$H$127,5,FALSE))</f>
        <v/>
      </c>
      <c r="J47" s="142" t="str">
        <f>IF($B47=0,"",VLOOKUP($B47,Materials!$B$2:$H$127,7,FALSE))</f>
        <v/>
      </c>
      <c r="K47" s="150">
        <f t="shared" si="2"/>
        <v>0</v>
      </c>
      <c r="L47" s="143"/>
    </row>
    <row r="48" spans="1:12" hidden="1" x14ac:dyDescent="0.2">
      <c r="A48" s="175"/>
      <c r="B48" s="203"/>
      <c r="C48" s="220" t="str">
        <f>IF(B48=0,"",VLOOKUP($B48,Materials!$B$2:$H$127,2,FALSE))</f>
        <v/>
      </c>
      <c r="D48" s="220"/>
      <c r="E48" s="220"/>
      <c r="F48" s="205"/>
      <c r="G48" s="207"/>
      <c r="H48" s="208"/>
      <c r="I48" s="153" t="str">
        <f>IF($B48=0,"",VLOOKUP($B48,Materials!$B$2:$H$127,5,FALSE))</f>
        <v/>
      </c>
      <c r="J48" s="142" t="str">
        <f>IF($B48=0,"",VLOOKUP($B48,Materials!$B$2:$H$127,7,FALSE))</f>
        <v/>
      </c>
      <c r="K48" s="150">
        <f t="shared" si="2"/>
        <v>0</v>
      </c>
      <c r="L48" s="143"/>
    </row>
    <row r="49" spans="1:12" hidden="1" x14ac:dyDescent="0.2">
      <c r="A49" s="175"/>
      <c r="B49" s="203"/>
      <c r="C49" s="220" t="str">
        <f>IF(B49=0,"",VLOOKUP($B49,Materials!$B$2:$H$127,2,FALSE))</f>
        <v/>
      </c>
      <c r="D49" s="220"/>
      <c r="E49" s="220"/>
      <c r="F49" s="205"/>
      <c r="G49" s="207"/>
      <c r="H49" s="208"/>
      <c r="I49" s="153" t="str">
        <f>IF($B49=0,"",VLOOKUP($B49,Materials!$B$2:$H$127,5,FALSE))</f>
        <v/>
      </c>
      <c r="J49" s="142" t="str">
        <f>IF($B49=0,"",VLOOKUP($B49,Materials!$B$2:$H$127,7,FALSE))</f>
        <v/>
      </c>
      <c r="K49" s="150">
        <f t="shared" si="2"/>
        <v>0</v>
      </c>
      <c r="L49" s="143"/>
    </row>
    <row r="50" spans="1:12" hidden="1" x14ac:dyDescent="0.2">
      <c r="B50" s="204"/>
      <c r="C50" s="220" t="str">
        <f>IF(B50=0,"",VLOOKUP($B50,Materials!$B$2:$H$127,2,FALSE))</f>
        <v/>
      </c>
      <c r="D50" s="220"/>
      <c r="E50" s="220"/>
      <c r="F50" s="206"/>
      <c r="G50" s="207"/>
      <c r="H50" s="210"/>
      <c r="I50" s="153" t="str">
        <f>IF($B50=0,"",VLOOKUP($B50,Materials!$B$2:$H$127,5,FALSE))</f>
        <v/>
      </c>
      <c r="J50" s="142" t="str">
        <f>IF($B50=0,"",VLOOKUP($B50,Materials!$B$2:$H$127,7,FALSE))</f>
        <v/>
      </c>
      <c r="K50" s="150">
        <f t="shared" si="2"/>
        <v>0</v>
      </c>
      <c r="L50" s="143"/>
    </row>
    <row r="51" spans="1:12" hidden="1" x14ac:dyDescent="0.2">
      <c r="B51" s="204"/>
      <c r="C51" s="220" t="str">
        <f>IF(B51=0,"",VLOOKUP($B51,Materials!$B$2:$H$127,2,FALSE))</f>
        <v/>
      </c>
      <c r="D51" s="220"/>
      <c r="E51" s="220"/>
      <c r="F51" s="206"/>
      <c r="G51" s="207"/>
      <c r="H51" s="210"/>
      <c r="I51" s="153" t="str">
        <f>IF($B51=0,"",VLOOKUP($B51,Materials!$B$2:$H$127,5,FALSE))</f>
        <v/>
      </c>
      <c r="J51" s="142" t="str">
        <f>IF($B51=0,"",VLOOKUP($B51,Materials!$B$2:$H$127,7,FALSE))</f>
        <v/>
      </c>
      <c r="K51" s="150">
        <f t="shared" si="2"/>
        <v>0</v>
      </c>
      <c r="L51" s="143"/>
    </row>
    <row r="52" spans="1:12" hidden="1" x14ac:dyDescent="0.2">
      <c r="B52" s="204"/>
      <c r="C52" s="220" t="str">
        <f>IF(B52=0,"",VLOOKUP($B52,Materials!$B$2:$H$127,2,FALSE))</f>
        <v/>
      </c>
      <c r="D52" s="220"/>
      <c r="E52" s="220"/>
      <c r="F52" s="206"/>
      <c r="G52" s="211"/>
      <c r="H52" s="210"/>
      <c r="I52" s="153" t="str">
        <f>IF($B52=0,"",VLOOKUP($B52,Materials!$B$2:$H$127,5,FALSE))</f>
        <v/>
      </c>
      <c r="J52" s="142" t="str">
        <f>IF($B52=0,"",VLOOKUP($B52,Materials!$B$2:$H$127,7,FALSE))</f>
        <v/>
      </c>
      <c r="K52" s="150">
        <f t="shared" si="2"/>
        <v>0</v>
      </c>
      <c r="L52" s="143"/>
    </row>
    <row r="53" spans="1:12" hidden="1" x14ac:dyDescent="0.2">
      <c r="B53" s="204"/>
      <c r="C53" s="220" t="str">
        <f>IF(B53=0,"",VLOOKUP($B53,Materials!$B$2:$H$127,2,FALSE))</f>
        <v/>
      </c>
      <c r="D53" s="220"/>
      <c r="E53" s="220"/>
      <c r="F53" s="206"/>
      <c r="G53" s="211"/>
      <c r="H53" s="210"/>
      <c r="I53" s="153" t="str">
        <f>IF($B53=0,"",VLOOKUP($B53,Materials!$B$2:$H$127,5,FALSE))</f>
        <v/>
      </c>
      <c r="J53" s="142" t="str">
        <f>IF($B53=0,"",VLOOKUP($B53,Materials!$B$2:$H$127,7,FALSE))</f>
        <v/>
      </c>
      <c r="K53" s="150">
        <f t="shared" si="2"/>
        <v>0</v>
      </c>
      <c r="L53" s="143"/>
    </row>
    <row r="54" spans="1:12" hidden="1" x14ac:dyDescent="0.2">
      <c r="B54" s="204"/>
      <c r="C54" s="220" t="str">
        <f>IF(B54=0,"",VLOOKUP($B54,Materials!$B$2:$H$127,2,FALSE))</f>
        <v/>
      </c>
      <c r="D54" s="220"/>
      <c r="E54" s="220"/>
      <c r="F54" s="206"/>
      <c r="G54" s="211"/>
      <c r="H54" s="210"/>
      <c r="I54" s="153" t="str">
        <f>IF($B54=0,"",VLOOKUP($B54,Materials!$B$2:$H$127,5,FALSE))</f>
        <v/>
      </c>
      <c r="J54" s="142" t="str">
        <f>IF($B54=0,"",VLOOKUP($B54,Materials!$B$2:$H$127,7,FALSE))</f>
        <v/>
      </c>
      <c r="K54" s="150">
        <f t="shared" si="2"/>
        <v>0</v>
      </c>
      <c r="L54" s="143"/>
    </row>
    <row r="55" spans="1:12" hidden="1" x14ac:dyDescent="0.2">
      <c r="B55" s="204"/>
      <c r="C55" s="220" t="str">
        <f>IF(B55=0,"",VLOOKUP($B55,Materials!$B$2:$H$127,2,FALSE))</f>
        <v/>
      </c>
      <c r="D55" s="220"/>
      <c r="E55" s="220"/>
      <c r="F55" s="206"/>
      <c r="G55" s="211"/>
      <c r="H55" s="210"/>
      <c r="I55" s="153" t="str">
        <f>IF($B55=0,"",VLOOKUP($B55,Materials!$B$2:$H$127,5,FALSE))</f>
        <v/>
      </c>
      <c r="J55" s="142" t="str">
        <f>IF($B55=0,"",VLOOKUP($B55,Materials!$B$2:$H$127,7,FALSE))</f>
        <v/>
      </c>
      <c r="K55" s="150">
        <f t="shared" si="2"/>
        <v>0</v>
      </c>
      <c r="L55" s="145"/>
    </row>
    <row r="56" spans="1:12" hidden="1" x14ac:dyDescent="0.2">
      <c r="B56" s="204"/>
      <c r="C56" s="220" t="str">
        <f>IF(B56=0,"",VLOOKUP($B56,Materials!$B$2:$H$127,2,FALSE))</f>
        <v/>
      </c>
      <c r="D56" s="220"/>
      <c r="E56" s="220"/>
      <c r="F56" s="206"/>
      <c r="G56" s="211"/>
      <c r="H56" s="210"/>
      <c r="I56" s="153" t="str">
        <f>IF($B56=0,"",VLOOKUP($B56,Materials!$B$2:$H$127,5,FALSE))</f>
        <v/>
      </c>
      <c r="J56" s="142" t="str">
        <f>IF($B56=0,"",VLOOKUP($B56,Materials!$B$2:$H$127,7,FALSE))</f>
        <v/>
      </c>
      <c r="K56" s="150">
        <f>IF(B56=0,0,ROUND(G56*H56*J56,2))</f>
        <v>0</v>
      </c>
      <c r="L56" s="145"/>
    </row>
    <row r="57" spans="1:12" hidden="1" x14ac:dyDescent="0.2">
      <c r="B57" s="204"/>
      <c r="C57" s="220" t="str">
        <f>IF(B57=0,"",VLOOKUP($B57,Materials!$B$2:$H$127,2,FALSE))</f>
        <v/>
      </c>
      <c r="D57" s="220"/>
      <c r="E57" s="220"/>
      <c r="F57" s="206"/>
      <c r="G57" s="211"/>
      <c r="H57" s="210"/>
      <c r="I57" s="153" t="str">
        <f>IF($B57=0,"",VLOOKUP($B57,Materials!$B$2:$H$127,5,FALSE))</f>
        <v/>
      </c>
      <c r="J57" s="142" t="str">
        <f>IF($B57=0,"",VLOOKUP($B57,Materials!$B$2:$H$127,7,FALSE))</f>
        <v/>
      </c>
      <c r="K57" s="150">
        <f>IF(B57=0,0,ROUND(G57*H57*J57,2))</f>
        <v>0</v>
      </c>
      <c r="L57" s="145"/>
    </row>
    <row r="58" spans="1:12" hidden="1" x14ac:dyDescent="0.2">
      <c r="B58" s="204"/>
      <c r="C58" s="220" t="str">
        <f>IF(B58=0,"",VLOOKUP($B58,Materials!$B$2:$H$127,2,FALSE))</f>
        <v/>
      </c>
      <c r="D58" s="220"/>
      <c r="E58" s="220"/>
      <c r="F58" s="206"/>
      <c r="G58" s="211"/>
      <c r="H58" s="210"/>
      <c r="I58" s="153" t="str">
        <f>IF($B58=0,"",VLOOKUP($B58,Materials!$B$2:$H$127,5,FALSE))</f>
        <v/>
      </c>
      <c r="J58" s="142" t="str">
        <f>IF($B58=0,"",VLOOKUP($B58,Materials!$B$2:$H$127,7,FALSE))</f>
        <v/>
      </c>
      <c r="K58" s="150">
        <f>IF(B58=0,0,ROUND(G58*H58*J58,2))</f>
        <v>0</v>
      </c>
      <c r="L58" s="145"/>
    </row>
    <row r="59" spans="1:12" hidden="1" x14ac:dyDescent="0.2">
      <c r="B59" s="204"/>
      <c r="C59" s="220" t="str">
        <f>IF(B59=0,"",VLOOKUP($B59,Materials!$B$2:$H$127,2,FALSE))</f>
        <v/>
      </c>
      <c r="D59" s="220"/>
      <c r="E59" s="220"/>
      <c r="F59" s="206"/>
      <c r="G59" s="211"/>
      <c r="H59" s="210"/>
      <c r="I59" s="153" t="str">
        <f>IF($B59=0,"",VLOOKUP($B59,Materials!$B$2:$H$127,5,FALSE))</f>
        <v/>
      </c>
      <c r="J59" s="142" t="str">
        <f>IF($B59=0,"",VLOOKUP($B59,Materials!$B$2:$H$127,7,FALSE))</f>
        <v/>
      </c>
      <c r="K59" s="150">
        <f>IF(B59=0,0,ROUND(G59*H59*J59,2))</f>
        <v>0</v>
      </c>
      <c r="L59" s="145"/>
    </row>
    <row r="60" spans="1:12" hidden="1" x14ac:dyDescent="0.2">
      <c r="B60" s="204"/>
      <c r="C60" s="220" t="str">
        <f>IF(B60=0,"",VLOOKUP($B60,Materials!$B$2:$H$127,2,FALSE))</f>
        <v/>
      </c>
      <c r="D60" s="220"/>
      <c r="E60" s="220"/>
      <c r="F60" s="206"/>
      <c r="G60" s="211"/>
      <c r="H60" s="210"/>
      <c r="I60" s="153" t="str">
        <f>IF($B60=0,"",VLOOKUP($B60,Materials!$B$2:$H$127,5,FALSE))</f>
        <v/>
      </c>
      <c r="J60" s="142" t="str">
        <f>IF($B60=0,"",VLOOKUP($B60,Materials!$B$2:$H$127,7,FALSE))</f>
        <v/>
      </c>
      <c r="K60" s="150">
        <f>IF(B60=0,0,ROUND(G60*H60*J60,2))</f>
        <v>0</v>
      </c>
      <c r="L60" s="145"/>
    </row>
    <row r="61" spans="1:12" hidden="1" x14ac:dyDescent="0.2">
      <c r="B61" s="204" t="s">
        <v>42</v>
      </c>
      <c r="C61" s="220" t="str">
        <f>IF(B61=0,0,"Crop Insurance")</f>
        <v>Crop Insurance</v>
      </c>
      <c r="D61" s="220"/>
      <c r="E61" s="220"/>
      <c r="F61" s="144"/>
      <c r="G61" s="201"/>
      <c r="H61" s="202"/>
      <c r="I61" s="195"/>
      <c r="J61" s="142"/>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96.259999999999991</v>
      </c>
      <c r="L63" s="143"/>
    </row>
    <row r="64" spans="1:12" x14ac:dyDescent="0.2">
      <c r="B64" s="181"/>
      <c r="K64" s="161"/>
    </row>
    <row r="65" spans="2:12" x14ac:dyDescent="0.2">
      <c r="B65" s="140" t="s">
        <v>552</v>
      </c>
      <c r="K65" s="161">
        <f>K33+K63</f>
        <v>140.88999999999999</v>
      </c>
      <c r="L65" s="143"/>
    </row>
    <row r="66" spans="2:12" ht="13.5" thickBot="1" x14ac:dyDescent="0.25">
      <c r="D66" s="162" t="s">
        <v>570</v>
      </c>
      <c r="E66" s="163">
        <f>ROUND(SUM($E$33:$H$33)+$K$63,2)</f>
        <v>120.94</v>
      </c>
      <c r="F66" s="222" t="s">
        <v>362</v>
      </c>
      <c r="G66" s="222"/>
      <c r="H66" s="164">
        <f>'General Variables'!$B$11</f>
        <v>5.5E-2</v>
      </c>
      <c r="I66" s="165" t="str">
        <f>CONCATENATE("for ",TEXT('General Variables'!$B$12,"0.0")," mo.")</f>
        <v>for 6.0 mo.</v>
      </c>
      <c r="K66" s="166">
        <f>E66*H66*'General Variables'!$B$12/12</f>
        <v>3.3258500000000004</v>
      </c>
      <c r="L66" s="167"/>
    </row>
    <row r="67" spans="2:12" ht="13.5" thickTop="1" x14ac:dyDescent="0.2">
      <c r="B67" s="140" t="s">
        <v>366</v>
      </c>
      <c r="K67" s="161">
        <f>SUM(K65:K66)</f>
        <v>144.21584999999999</v>
      </c>
      <c r="L67" s="143"/>
    </row>
    <row r="68" spans="2:12" x14ac:dyDescent="0.2">
      <c r="K68" s="161"/>
    </row>
    <row r="69" spans="2:12" x14ac:dyDescent="0.2">
      <c r="B69" s="168" t="s">
        <v>588</v>
      </c>
      <c r="C69" s="169"/>
      <c r="D69" s="169"/>
      <c r="E69" s="169"/>
      <c r="F69" s="169"/>
      <c r="G69" s="169"/>
      <c r="H69" s="169"/>
      <c r="I69" s="169"/>
      <c r="J69" s="169"/>
      <c r="K69" s="170">
        <f>'General Variables'!B14</f>
        <v>20</v>
      </c>
      <c r="L69" s="143"/>
    </row>
    <row r="70" spans="2:12" x14ac:dyDescent="0.2">
      <c r="B70" s="129" t="s">
        <v>369</v>
      </c>
      <c r="C70" s="223" t="s">
        <v>420</v>
      </c>
      <c r="D70" s="224"/>
      <c r="E70" s="225"/>
      <c r="F70" s="171">
        <f>IF(C70=0,0,VLOOKUP(C70,RETable,2,FALSE))</f>
        <v>3390</v>
      </c>
      <c r="G70" s="222" t="s">
        <v>370</v>
      </c>
      <c r="H70" s="222"/>
      <c r="I70" s="164">
        <f>'General Variables'!$B$10</f>
        <v>0.04</v>
      </c>
      <c r="K70" s="172">
        <f>ROUND(F70*I70,2)</f>
        <v>135.6</v>
      </c>
      <c r="L70" s="143"/>
    </row>
    <row r="71" spans="2:12" ht="13.5" thickBot="1" x14ac:dyDescent="0.25">
      <c r="B71" s="129" t="s">
        <v>378</v>
      </c>
      <c r="F71" s="173">
        <f>IF(C70=0,0,VLOOKUP(C70,RETable,2,FALSE))</f>
        <v>3390</v>
      </c>
      <c r="G71" s="221" t="s">
        <v>370</v>
      </c>
      <c r="H71" s="221"/>
      <c r="I71" s="174">
        <f>'General Variables'!$B$13</f>
        <v>0.01</v>
      </c>
      <c r="J71" s="175"/>
      <c r="K71" s="176">
        <f>ROUND(F71*I71,2)</f>
        <v>33.9</v>
      </c>
      <c r="L71" s="167"/>
    </row>
    <row r="72" spans="2:12" ht="13.5" thickTop="1" x14ac:dyDescent="0.2">
      <c r="B72" s="140" t="s">
        <v>383</v>
      </c>
      <c r="K72" s="161">
        <f>SUM(K67:K71)</f>
        <v>333.71584999999993</v>
      </c>
      <c r="L72" s="143"/>
    </row>
    <row r="73" spans="2:12" x14ac:dyDescent="0.2">
      <c r="K73" s="162"/>
    </row>
    <row r="74" spans="2:12" x14ac:dyDescent="0.2">
      <c r="B74" s="140" t="str">
        <f>"Cost per "&amp;$B$4</f>
        <v>Cost per bu</v>
      </c>
      <c r="K74" s="177">
        <f>IF(A4="Yield",0,K72/$A$4)</f>
        <v>3.9260688235294108</v>
      </c>
      <c r="L74" s="143"/>
    </row>
    <row r="75" spans="2:12" x14ac:dyDescent="0.2">
      <c r="B75" s="178" t="str">
        <f>"Cash Cost per "&amp;$B$4</f>
        <v>Cash Cost per bu</v>
      </c>
      <c r="C75" s="175"/>
      <c r="D75" s="175"/>
      <c r="E75" s="175"/>
      <c r="F75" s="175"/>
      <c r="G75" s="175"/>
      <c r="H75" s="175"/>
      <c r="I75" s="175"/>
      <c r="J75" s="175"/>
      <c r="K75" s="179">
        <f>IF($A$4="Yield",0,(E66+K66+K71)/$A$4)</f>
        <v>1.8607747058823529</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505</v>
      </c>
    </row>
    <row r="112" spans="2:11" x14ac:dyDescent="0.2">
      <c r="B112" s="175"/>
      <c r="C112" s="175"/>
      <c r="D112" s="175"/>
      <c r="H112" s="129" t="str">
        <f>'General Variables'!A20</f>
        <v>Corn Irrigated</v>
      </c>
      <c r="K112" s="129" t="s">
        <v>506</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47-Pasture</v>
      </c>
      <c r="B2" s="138"/>
      <c r="C2" s="136"/>
      <c r="D2" s="136"/>
      <c r="E2" s="138"/>
      <c r="I2" s="186" t="s">
        <v>501</v>
      </c>
      <c r="J2" s="178" t="s">
        <v>502</v>
      </c>
      <c r="L2" s="139" t="str">
        <f>'General Variables'!A3&amp;" "&amp;'General Variables'!B3</f>
        <v>Year 2016</v>
      </c>
      <c r="O2" s="135" t="s">
        <v>407</v>
      </c>
    </row>
    <row r="3" spans="1:15" hidden="1" x14ac:dyDescent="0.2">
      <c r="A3" s="137" t="s">
        <v>89</v>
      </c>
      <c r="B3" s="138"/>
      <c r="C3" s="136"/>
      <c r="D3" s="136"/>
      <c r="E3" s="138"/>
      <c r="G3" s="136"/>
      <c r="H3" s="129">
        <v>18</v>
      </c>
      <c r="I3" s="138" t="s">
        <v>539</v>
      </c>
      <c r="O3" s="135" t="s">
        <v>406</v>
      </c>
    </row>
    <row r="4" spans="1:15" hidden="1" x14ac:dyDescent="0.2">
      <c r="A4" s="137">
        <v>11</v>
      </c>
      <c r="B4" s="137" t="s">
        <v>90</v>
      </c>
      <c r="C4" s="136"/>
      <c r="D4" s="136"/>
      <c r="E4" s="138"/>
      <c r="F4" s="138"/>
      <c r="G4" s="138"/>
      <c r="H4" s="138"/>
      <c r="I4" s="138"/>
      <c r="J4" s="139" t="s">
        <v>504</v>
      </c>
      <c r="K4" s="140"/>
      <c r="O4" s="135" t="str">
        <f>B4</f>
        <v>AUM</v>
      </c>
    </row>
    <row r="5" spans="1:15" ht="15.75" hidden="1" x14ac:dyDescent="0.25">
      <c r="A5" s="219" t="str">
        <f ca="1" xml:space="preserve"> A2  &amp; IF(C2="","",  ", " &amp;C2 ) &amp; ", " &amp; A3 &amp; ", " &amp; I2</f>
        <v>47-Pasture, Grazing, Pivot Irrigated</v>
      </c>
      <c r="B5" s="219"/>
      <c r="C5" s="219"/>
      <c r="D5" s="219"/>
      <c r="E5" s="219"/>
      <c r="F5" s="219"/>
      <c r="G5" s="219"/>
      <c r="H5" s="219"/>
      <c r="I5" s="219"/>
      <c r="J5" s="219"/>
      <c r="K5" s="219"/>
      <c r="L5" s="219"/>
      <c r="O5" s="135"/>
    </row>
    <row r="6" spans="1:15" ht="15.75" hidden="1" x14ac:dyDescent="0.25">
      <c r="A6" s="194"/>
      <c r="B6" s="194"/>
      <c r="C6" s="194"/>
      <c r="D6" s="194"/>
      <c r="E6" s="194"/>
      <c r="F6" s="194"/>
      <c r="G6" s="194"/>
      <c r="H6" s="194"/>
      <c r="I6" s="194"/>
      <c r="J6" s="194"/>
      <c r="K6" s="194"/>
      <c r="L6" s="194"/>
      <c r="O6" s="135"/>
    </row>
    <row r="7" spans="1:15" ht="30" customHeight="1" x14ac:dyDescent="0.25">
      <c r="A7" s="219" t="str">
        <f ca="1">'General Variables'!B3 &amp; " Budget "  &amp; A2 &amp;", "  &amp; IF(C2=0,"", " " &amp; C2 &amp; ", ") &amp;  A3 &amp; IF(A4=""," ", " (") &amp; A4 &amp; " " &amp; B4 &amp; IF(A4="",""," Actual Yield)")</f>
        <v>2016 Budget 47-Pasture, Grazing (11 AUM Actual Yield)</v>
      </c>
      <c r="B7" s="219"/>
      <c r="C7" s="219"/>
      <c r="D7" s="219"/>
      <c r="E7" s="219"/>
      <c r="F7" s="219"/>
      <c r="G7" s="219"/>
      <c r="H7" s="219"/>
      <c r="I7" s="219"/>
      <c r="J7" s="219"/>
      <c r="K7" s="219"/>
      <c r="L7" s="219"/>
      <c r="O7" s="135"/>
    </row>
    <row r="8" spans="1:15" ht="15.75" x14ac:dyDescent="0.25">
      <c r="A8" s="141" t="str">
        <f>IF(I2="Dryland","Dryland",I2 &amp; IF(J2="","",", "&amp;J2)&amp;IF(H3="","",", "&amp;H3&amp;" "&amp;I3))</f>
        <v>Pivot Irrigated, 800 GPM 35 PSI, 18 acre/inches</v>
      </c>
      <c r="B8" s="137"/>
      <c r="C8" s="136"/>
      <c r="D8" s="136"/>
      <c r="E8" s="138"/>
      <c r="F8" s="138"/>
      <c r="G8" s="138"/>
      <c r="H8" s="138"/>
      <c r="I8" s="138"/>
      <c r="O8" s="135"/>
    </row>
    <row r="10" spans="1:15" s="140" customFormat="1" ht="22.5" customHeight="1" x14ac:dyDescent="0.2">
      <c r="B10" s="228" t="s">
        <v>71</v>
      </c>
      <c r="C10" s="227" t="s">
        <v>1</v>
      </c>
      <c r="D10" s="198"/>
      <c r="E10" s="227" t="str">
        <f>"Labor @ $" &amp;TEXT('General Variables'!B4,"#.00")&amp; " /Hr"</f>
        <v>Labor @ $20.00 /Hr</v>
      </c>
      <c r="F10" s="227" t="str">
        <f>"Fuel @ $" &amp; TEXT('General Variables'!B5,"#.00") &amp; " and Lube"</f>
        <v>Fuel @ $2.25 and Lube</v>
      </c>
      <c r="G10" s="230" t="s">
        <v>72</v>
      </c>
      <c r="H10" s="230"/>
      <c r="I10" s="230" t="s">
        <v>354</v>
      </c>
      <c r="J10" s="230"/>
      <c r="K10" s="230" t="s">
        <v>2</v>
      </c>
      <c r="L10" s="227" t="s">
        <v>361</v>
      </c>
    </row>
    <row r="11" spans="1:15" s="140" customFormat="1" ht="21.75" customHeight="1" thickBot="1" x14ac:dyDescent="0.25">
      <c r="B11" s="229"/>
      <c r="C11" s="226"/>
      <c r="D11" s="197" t="s">
        <v>70</v>
      </c>
      <c r="E11" s="226"/>
      <c r="F11" s="226"/>
      <c r="G11" s="199" t="s">
        <v>73</v>
      </c>
      <c r="H11" s="199" t="s">
        <v>75</v>
      </c>
      <c r="I11" s="199" t="s">
        <v>73</v>
      </c>
      <c r="J11" s="199" t="s">
        <v>75</v>
      </c>
      <c r="K11" s="231"/>
      <c r="L11" s="226"/>
    </row>
    <row r="12" spans="1:15" ht="13.5" thickTop="1" x14ac:dyDescent="0.2">
      <c r="A12" s="196">
        <v>1</v>
      </c>
      <c r="B12" s="204" t="s">
        <v>554</v>
      </c>
      <c r="C12" s="205">
        <f>$H$3</f>
        <v>18</v>
      </c>
      <c r="D12" s="200" t="s">
        <v>406</v>
      </c>
      <c r="E12" s="192">
        <f>IF(B12=0,"",IF(C12&gt;9999,"",ROUND('General Variables'!$B$4*VLOOKUP(B12,Operations!$A$2:$U$101,10,FALSE)/VLOOKUP(B12,Operations!$A$2:$U$101,9,FALSE)*C12,2)))</f>
        <v>12.5</v>
      </c>
      <c r="F12" s="192">
        <f>IF(B12=0,0,ROUND(IF(VLOOKUP(B12,Operations!$A$2:$U$101,12,FALSE)=0,VLOOKUP(B12,Operations!$A$2:$U$101,13,FALSE)*'General Variables'!$B$8,VLOOKUP(B12,Operations!$A$2:$U$101,12,FALSE)*'General Variables'!$B$7)/VLOOKUP(B12,Operations!$A$2:$U$101,9,FALSE)*LEFT(C12,3),2))</f>
        <v>86.42</v>
      </c>
      <c r="G12" s="192">
        <f>IF(B12=0,0,ROUND(VLOOKUP(VLOOKUP(B12,Operations!$A$2:$U$101,11,FALSE),PowerUnits[],10,FALSE)/VLOOKUP(B12,Operations!$A$2:$U$101,9,FALSE)*LEFT(C12,3),2))</f>
        <v>6.17</v>
      </c>
      <c r="H12" s="192">
        <f>IF(B12=0,"",ROUND(VLOOKUP($B12,Operations!$A$2:$U$101,15,FALSE)*LEFT(C12,3),2))</f>
        <v>29.05</v>
      </c>
      <c r="I12" s="192">
        <f>IF(B12=0,0,ROUND(VLOOKUP(VLOOKUP(B12,Operations!$A$2:$U$101,11,FALSE),PowerUnits[],16,FALSE)/VLOOKUP(B12,Operations!$A$2:$U$101,9,FALSE)*LEFT(C12,3),2))</f>
        <v>8.94</v>
      </c>
      <c r="J12" s="192">
        <f>IF(B12=0,"",ROUND(VLOOKUP($B12,Operations!$A$2:$U$101,21,FALSE)*LEFT(C12,3),2))</f>
        <v>17.38</v>
      </c>
      <c r="K12" s="192">
        <f>SUM(E12:J12)</f>
        <v>160.46</v>
      </c>
      <c r="L12" s="136"/>
    </row>
    <row r="13" spans="1:15" hidden="1" x14ac:dyDescent="0.2">
      <c r="A13" s="196">
        <v>2</v>
      </c>
      <c r="B13" s="203"/>
      <c r="C13" s="205"/>
      <c r="D13" s="200"/>
      <c r="E13" s="142" t="str">
        <f>IF(B13=0,"",IF(C13&gt;9999,"",ROUND('General Variables'!$B$4*VLOOKUP(B13,Operations!$A$2:$U$101,10,FALSE)/VLOOKUP(B13,Operations!$A$2:$U$101,9,FALSE)*C13,2)))</f>
        <v/>
      </c>
      <c r="F13" s="142">
        <f>IF(B13=0,0,IF(C13&gt;9999,"",ROUND(IF(VLOOKUP(B13,Operations!$A$2:$U$101,12,FALSE)=0,VLOOKUP(B13,Operations!$A$2:$U$101,13,FALSE)*'General Variables'!$B$8,VLOOKUP(B13,Operations!$A$2:$U$101,12,FALSE)*'General Variables'!$B$7)/VLOOKUP(B13,Operations!$A$2:$U$101,9,FALSE)*C13,2)))</f>
        <v>0</v>
      </c>
      <c r="G13" s="142">
        <f>IF(B13=0,0,IF(C13&gt;9999,"",ROUND(VLOOKUP(VLOOKUP(B13,Operations!$A$2:$U$101,11,FALSE),PowerUnits[],10,FALSE)/VLOOKUP(B13,Operations!$A$2:$U$101,9,FALSE)*C13,2)))</f>
        <v>0</v>
      </c>
      <c r="H13" s="142" t="str">
        <f>IF(B13=0,"",IF(C13&gt;9999,"",ROUND(VLOOKUP($B13,Operations!$A$2:$U$101,15,FALSE)*C13,2)))</f>
        <v/>
      </c>
      <c r="I13" s="142">
        <f>IF(B13=0,0,IF(C13&gt;9999,"",ROUND(VLOOKUP(VLOOKUP(B13,Operations!$A$2:$U$101,11,FALSE),PowerUnits[],16,FALSE)/VLOOKUP(B13,Operations!$A$2:$U$101,9,FALSE)*C13,2)))</f>
        <v>0</v>
      </c>
      <c r="J13" s="142" t="str">
        <f>IF(B13=0,"",IF(C13&gt;9999,"",ROUND(VLOOKUP($B13,Operations!$A$2:$U$101,21,FALSE)*$C13,2)))</f>
        <v/>
      </c>
      <c r="K13" s="142">
        <f t="shared" ref="K13:K31" si="0">IF(C13&gt;9999,"",ROUND(SUM(E13:J13),2))</f>
        <v>0</v>
      </c>
      <c r="L13" s="143"/>
    </row>
    <row r="14" spans="1:15" hidden="1" x14ac:dyDescent="0.2">
      <c r="A14" s="196">
        <v>3</v>
      </c>
      <c r="B14" s="203"/>
      <c r="C14" s="205"/>
      <c r="D14" s="200"/>
      <c r="E14" s="142" t="str">
        <f>IF(B14=0,"",IF(C14&gt;9999,"",ROUND('General Variables'!$B$4*VLOOKUP(B14,Operations!$A$2:$U$101,10,FALSE)/VLOOKUP(B14,Operations!$A$2:$U$101,9,FALSE)*C14,2)))</f>
        <v/>
      </c>
      <c r="F14" s="142">
        <f>IF(B14=0,0,IF(C14&gt;9999,"",ROUND(IF(VLOOKUP(B14,Operations!$A$2:$U$101,12,FALSE)=0,VLOOKUP(B14,Operations!$A$2:$U$101,13,FALSE)*'General Variables'!$B$8,VLOOKUP(B14,Operations!$A$2:$U$101,12,FALSE)*'General Variables'!$B$7)/VLOOKUP(B14,Operations!$A$2:$U$101,9,FALSE)*C14,2)))</f>
        <v>0</v>
      </c>
      <c r="G14" s="142">
        <f>IF(B14=0,0,IF(C14&gt;9999,"",ROUND(VLOOKUP(VLOOKUP(B14,Operations!$A$2:$U$101,11,FALSE),PowerUnits[],10,FALSE)/VLOOKUP(B14,Operations!$A$2:$U$101,9,FALSE)*C14,2)))</f>
        <v>0</v>
      </c>
      <c r="H14" s="142" t="str">
        <f>IF(B14=0,"",IF(C14&gt;9999,"",ROUND(VLOOKUP($B14,Operations!$A$2:$U$101,15,FALSE)*C14,2)))</f>
        <v/>
      </c>
      <c r="I14" s="142">
        <f>IF(B14=0,0,IF(C14&gt;9999,"",ROUND(VLOOKUP(VLOOKUP(B14,Operations!$A$2:$U$101,11,FALSE),PowerUnits[],16,FALSE)/VLOOKUP(B14,Operations!$A$2:$U$101,9,FALSE)*C14,2)))</f>
        <v>0</v>
      </c>
      <c r="J14" s="142" t="str">
        <f>IF(B14=0,"",IF(C14&gt;9999,"",ROUND(VLOOKUP($B14,Operations!$A$2:$U$101,21,FALSE)*$C14,2)))</f>
        <v/>
      </c>
      <c r="K14" s="142">
        <f t="shared" si="0"/>
        <v>0</v>
      </c>
      <c r="L14" s="143"/>
    </row>
    <row r="15" spans="1:15" hidden="1" x14ac:dyDescent="0.2">
      <c r="A15" s="196">
        <v>4</v>
      </c>
      <c r="B15" s="203"/>
      <c r="C15" s="205"/>
      <c r="D15" s="200"/>
      <c r="E15" s="142" t="str">
        <f>IF(B15=0,"",IF(C15&gt;9999,"",ROUND('General Variables'!$B$4*VLOOKUP(B15,Operations!$A$2:$U$101,10,FALSE)/VLOOKUP(B15,Operations!$A$2:$U$101,9,FALSE)*C15,2)))</f>
        <v/>
      </c>
      <c r="F15" s="142">
        <f>IF(B15=0,0,IF(C15&gt;9999,"",ROUND(IF(VLOOKUP(B15,Operations!$A$2:$U$101,12,FALSE)=0,VLOOKUP(B15,Operations!$A$2:$U$101,13,FALSE)*'General Variables'!$B$8,VLOOKUP(B15,Operations!$A$2:$U$101,12,FALSE)*'General Variables'!$B$7)/VLOOKUP(B15,Operations!$A$2:$U$101,9,FALSE)*C15,2)))</f>
        <v>0</v>
      </c>
      <c r="G15" s="142">
        <f>IF(B15=0,0,IF(C15&gt;9999,"",ROUND(VLOOKUP(VLOOKUP(B15,Operations!$A$2:$U$101,11,FALSE),PowerUnits[],10,FALSE)/VLOOKUP(B15,Operations!$A$2:$U$101,9,FALSE)*C15,2)))</f>
        <v>0</v>
      </c>
      <c r="H15" s="142" t="str">
        <f>IF(B15=0,"",IF(C15&gt;9999,"",ROUND(VLOOKUP($B15,Operations!$A$2:$U$101,15,FALSE)*C15,2)))</f>
        <v/>
      </c>
      <c r="I15" s="142">
        <f>IF(B15=0,0,IF(C15&gt;9999,"",ROUND(VLOOKUP(VLOOKUP(B15,Operations!$A$2:$U$101,11,FALSE),PowerUnits[],16,FALSE)/VLOOKUP(B15,Operations!$A$2:$U$101,9,FALSE)*C15,2)))</f>
        <v>0</v>
      </c>
      <c r="J15" s="142" t="str">
        <f>IF(B15=0,"",IF(C15&gt;9999,"",ROUND(VLOOKUP($B15,Operations!$A$2:$U$101,21,FALSE)*$C15,2)))</f>
        <v/>
      </c>
      <c r="K15" s="142">
        <f t="shared" si="0"/>
        <v>0</v>
      </c>
      <c r="L15" s="143"/>
    </row>
    <row r="16" spans="1:15" hidden="1" x14ac:dyDescent="0.2">
      <c r="A16" s="196">
        <v>5</v>
      </c>
      <c r="B16" s="203"/>
      <c r="C16" s="205"/>
      <c r="D16" s="200"/>
      <c r="E16" s="142" t="str">
        <f>IF(B16=0,"",IF(C16&gt;9999,"",ROUND('General Variables'!$B$4*VLOOKUP(B16,Operations!$A$2:$U$101,10,FALSE)/VLOOKUP(B16,Operations!$A$2:$U$101,9,FALSE)*C16,2)))</f>
        <v/>
      </c>
      <c r="F16" s="142">
        <f>IF(B16=0,0,IF(C16&gt;9999,"",ROUND(IF(VLOOKUP(B16,Operations!$A$2:$U$101,12,FALSE)=0,VLOOKUP(B16,Operations!$A$2:$U$101,13,FALSE)*'General Variables'!$B$8,VLOOKUP(B16,Operations!$A$2:$U$101,12,FALSE)*'General Variables'!$B$7)/VLOOKUP(B16,Operations!$A$2:$U$101,9,FALSE)*C16,2)))</f>
        <v>0</v>
      </c>
      <c r="G16" s="142">
        <f>IF(B16=0,0,IF(C16&gt;9999,"",ROUND(VLOOKUP(VLOOKUP(B16,Operations!$A$2:$U$101,11,FALSE),PowerUnits[],10,FALSE)/VLOOKUP(B16,Operations!$A$2:$U$101,9,FALSE)*C16,2)))</f>
        <v>0</v>
      </c>
      <c r="H16" s="142" t="str">
        <f>IF(B16=0,"",IF(C16&gt;9999,"",ROUND(VLOOKUP($B16,Operations!$A$2:$U$101,15,FALSE)*C16,2)))</f>
        <v/>
      </c>
      <c r="I16" s="142">
        <f>IF(B16=0,0,IF(C16&gt;9999,"",ROUND(VLOOKUP(VLOOKUP(B16,Operations!$A$2:$U$101,11,FALSE),PowerUnits[],16,FALSE)/VLOOKUP(B16,Operations!$A$2:$U$101,9,FALSE)*C16,2)))</f>
        <v>0</v>
      </c>
      <c r="J16" s="142" t="str">
        <f>IF(B16=0,"",IF(C16&gt;9999,"",ROUND(VLOOKUP($B16,Operations!$A$2:$U$101,21,FALSE)*$C16,2)))</f>
        <v/>
      </c>
      <c r="K16" s="142">
        <f t="shared" si="0"/>
        <v>0</v>
      </c>
      <c r="L16" s="143"/>
    </row>
    <row r="17" spans="1:12" hidden="1" x14ac:dyDescent="0.2">
      <c r="A17" s="196">
        <v>6</v>
      </c>
      <c r="B17" s="203"/>
      <c r="C17" s="205"/>
      <c r="D17" s="200"/>
      <c r="E17" s="142" t="str">
        <f>IF(B17=0,"",IF(C17&gt;9999,"",ROUND('General Variables'!$B$4*VLOOKUP(B17,Operations!$A$2:$U$101,10,FALSE)/VLOOKUP(B17,Operations!$A$2:$U$101,9,FALSE)*C17,2)))</f>
        <v/>
      </c>
      <c r="F17" s="142">
        <f>IF(B17=0,0,IF(C17&gt;9999,"",ROUND(IF(VLOOKUP(B17,Operations!$A$2:$U$101,12,FALSE)=0,VLOOKUP(B17,Operations!$A$2:$U$101,13,FALSE)*'General Variables'!$B$8,VLOOKUP(B17,Operations!$A$2:$U$101,12,FALSE)*'General Variables'!$B$7)/VLOOKUP(B17,Operations!$A$2:$U$101,9,FALSE)*C17,2)))</f>
        <v>0</v>
      </c>
      <c r="G17" s="142">
        <f>IF(B17=0,0,IF(C17&gt;9999,"",ROUND(VLOOKUP(VLOOKUP(B17,Operations!$A$2:$U$101,11,FALSE),PowerUnits[],10,FALSE)/VLOOKUP(B17,Operations!$A$2:$U$101,9,FALSE)*C17,2)))</f>
        <v>0</v>
      </c>
      <c r="H17" s="142" t="str">
        <f>IF(B17=0,"",IF(C17&gt;9999,"",ROUND(VLOOKUP($B17,Operations!$A$2:$U$101,15,FALSE)*C17,2)))</f>
        <v/>
      </c>
      <c r="I17" s="142">
        <f>IF(B17=0,0,IF(C17&gt;9999,"",ROUND(VLOOKUP(VLOOKUP(B17,Operations!$A$2:$U$101,11,FALSE),PowerUnits[],16,FALSE)/VLOOKUP(B17,Operations!$A$2:$U$101,9,FALSE)*C17,2)))</f>
        <v>0</v>
      </c>
      <c r="J17" s="142" t="str">
        <f>IF(B17=0,"",IF(C17&gt;9999,"",ROUND(VLOOKUP($B17,Operations!$A$2:$U$101,21,FALSE)*$C17,2)))</f>
        <v/>
      </c>
      <c r="K17" s="142">
        <f t="shared" si="0"/>
        <v>0</v>
      </c>
      <c r="L17" s="143"/>
    </row>
    <row r="18" spans="1:12" hidden="1" x14ac:dyDescent="0.2">
      <c r="A18" s="196">
        <v>7</v>
      </c>
      <c r="B18" s="203"/>
      <c r="C18" s="205"/>
      <c r="D18" s="200"/>
      <c r="E18" s="142" t="str">
        <f>IF(B18=0,"",IF(C18&gt;9999,"",ROUND('General Variables'!$B$4*VLOOKUP(B18,Operations!$A$2:$U$101,10,FALSE)/VLOOKUP(B18,Operations!$A$2:$U$101,9,FALSE)*C18,2)))</f>
        <v/>
      </c>
      <c r="F18" s="142">
        <f>IF(B18=0,0,IF(C18&gt;9999,"",ROUND(IF(VLOOKUP(B18,Operations!$A$2:$U$101,12,FALSE)=0,VLOOKUP(B18,Operations!$A$2:$U$101,13,FALSE)*'General Variables'!$B$8,VLOOKUP(B18,Operations!$A$2:$U$101,12,FALSE)*'General Variables'!$B$7)/VLOOKUP(B18,Operations!$A$2:$U$101,9,FALSE)*C18,2)))</f>
        <v>0</v>
      </c>
      <c r="G18" s="142">
        <f>IF(B18=0,0,IF(C18&gt;9999,"",ROUND(VLOOKUP(VLOOKUP(B18,Operations!$A$2:$U$101,11,FALSE),PowerUnits[],10,FALSE)/VLOOKUP(B18,Operations!$A$2:$U$101,9,FALSE)*C18,2)))</f>
        <v>0</v>
      </c>
      <c r="H18" s="142" t="str">
        <f>IF(B18=0,"",IF(C18&gt;9999,"",ROUND(VLOOKUP($B18,Operations!$A$2:$U$101,15,FALSE)*C18,2)))</f>
        <v/>
      </c>
      <c r="I18" s="142">
        <f>IF(B18=0,0,IF(C18&gt;9999,"",ROUND(VLOOKUP(VLOOKUP(B18,Operations!$A$2:$U$101,11,FALSE),PowerUnits[],16,FALSE)/VLOOKUP(B18,Operations!$A$2:$U$101,9,FALSE)*C18,2)))</f>
        <v>0</v>
      </c>
      <c r="J18" s="142" t="str">
        <f>IF(B18=0,"",IF(C18&gt;9999,"",ROUND(VLOOKUP($B18,Operations!$A$2:$U$101,21,FALSE)*$C18,2)))</f>
        <v/>
      </c>
      <c r="K18" s="142">
        <f t="shared" si="0"/>
        <v>0</v>
      </c>
      <c r="L18" s="143"/>
    </row>
    <row r="19" spans="1:12" hidden="1" x14ac:dyDescent="0.2">
      <c r="A19" s="196">
        <v>8</v>
      </c>
      <c r="B19" s="203"/>
      <c r="C19" s="205"/>
      <c r="D19" s="200"/>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6">
        <v>9</v>
      </c>
      <c r="B20" s="203"/>
      <c r="C20" s="205"/>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6">
        <v>10</v>
      </c>
      <c r="B21" s="203"/>
      <c r="C21" s="205"/>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6">
        <v>11</v>
      </c>
      <c r="B22" s="203"/>
      <c r="C22" s="205"/>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6">
        <v>12</v>
      </c>
      <c r="B23" s="203"/>
      <c r="C23" s="205"/>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6">
        <v>13</v>
      </c>
      <c r="B24" s="203"/>
      <c r="C24" s="205"/>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6">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6">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6">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6">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6">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6">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6">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6"/>
      <c r="B32" s="146"/>
      <c r="C32" s="147"/>
      <c r="D32" s="147"/>
      <c r="E32" s="148"/>
      <c r="F32" s="148"/>
      <c r="G32" s="148"/>
      <c r="H32" s="148"/>
      <c r="I32" s="148"/>
      <c r="J32" s="148"/>
      <c r="K32" s="148"/>
      <c r="L32" s="149"/>
    </row>
    <row r="33" spans="1:12" ht="13.5" thickTop="1" x14ac:dyDescent="0.2">
      <c r="C33" s="139" t="s">
        <v>74</v>
      </c>
      <c r="D33" s="139"/>
      <c r="E33" s="150">
        <f>SUM(E12:E31)</f>
        <v>12.5</v>
      </c>
      <c r="F33" s="150">
        <f t="shared" ref="F33:K33" si="1">SUM(F12:F31)</f>
        <v>86.42</v>
      </c>
      <c r="G33" s="150">
        <f t="shared" si="1"/>
        <v>6.17</v>
      </c>
      <c r="H33" s="150">
        <f t="shared" si="1"/>
        <v>29.05</v>
      </c>
      <c r="I33" s="150">
        <f t="shared" si="1"/>
        <v>8.94</v>
      </c>
      <c r="J33" s="150">
        <f t="shared" si="1"/>
        <v>17.38</v>
      </c>
      <c r="K33" s="150">
        <f t="shared" si="1"/>
        <v>160.46</v>
      </c>
      <c r="L33" s="143"/>
    </row>
    <row r="35" spans="1:12" ht="24" customHeight="1" thickBot="1" x14ac:dyDescent="0.25">
      <c r="B35" s="136"/>
      <c r="C35" s="136"/>
      <c r="D35" s="136"/>
      <c r="E35" s="136"/>
      <c r="F35" s="226" t="s">
        <v>85</v>
      </c>
      <c r="G35" s="226" t="s">
        <v>82</v>
      </c>
      <c r="H35" s="227" t="s">
        <v>86</v>
      </c>
      <c r="I35" s="227"/>
      <c r="J35" s="226" t="s">
        <v>62</v>
      </c>
      <c r="L35" s="227" t="s">
        <v>361</v>
      </c>
    </row>
    <row r="36" spans="1:12" s="151" customFormat="1" ht="18.75" customHeight="1" thickTop="1" thickBot="1" x14ac:dyDescent="0.25">
      <c r="B36" s="152" t="s">
        <v>81</v>
      </c>
      <c r="C36" s="197"/>
      <c r="D36" s="197"/>
      <c r="E36" s="197"/>
      <c r="F36" s="226"/>
      <c r="G36" s="226"/>
      <c r="H36" s="190" t="s">
        <v>87</v>
      </c>
      <c r="I36" s="191" t="s">
        <v>70</v>
      </c>
      <c r="J36" s="226"/>
      <c r="K36" s="197" t="s">
        <v>83</v>
      </c>
      <c r="L36" s="226"/>
    </row>
    <row r="37" spans="1:12" ht="13.5" thickTop="1" x14ac:dyDescent="0.2">
      <c r="A37" s="175"/>
      <c r="B37" s="204" t="s">
        <v>13</v>
      </c>
      <c r="C37" s="220" t="str">
        <f>IF(B37=0,"",VLOOKUP($B37,Materials!$B$2:$H$127,2,FALSE))</f>
        <v>Fertilizer</v>
      </c>
      <c r="D37" s="220"/>
      <c r="E37" s="220"/>
      <c r="F37" s="206">
        <v>1</v>
      </c>
      <c r="G37" s="211">
        <v>1</v>
      </c>
      <c r="H37" s="210">
        <v>220</v>
      </c>
      <c r="I37" s="153" t="str">
        <f>IF($B37=0,"",VLOOKUP($B37,Materials!$B$2:$H$127,5,FALSE))</f>
        <v>lbs N</v>
      </c>
      <c r="J37" s="142">
        <f>IF($B37=0,"",VLOOKUP($B37,Materials!$B$2:$H$127,7,FALSE))</f>
        <v>0.46666666666666662</v>
      </c>
      <c r="K37" s="150">
        <f>IF(B37=0,0,ROUND(G37*H37*J37,2))</f>
        <v>102.67</v>
      </c>
      <c r="L37" s="143"/>
    </row>
    <row r="38" spans="1:12" x14ac:dyDescent="0.2">
      <c r="A38" s="175"/>
      <c r="B38" s="204" t="s">
        <v>568</v>
      </c>
      <c r="C38" s="220" t="str">
        <f>IF(B38=0,"",VLOOKUP($B38,Materials!$B$2:$H$127,2,FALSE))</f>
        <v>Other</v>
      </c>
      <c r="D38" s="220"/>
      <c r="E38" s="220"/>
      <c r="F38" s="206"/>
      <c r="G38" s="211">
        <v>1</v>
      </c>
      <c r="H38" s="210">
        <v>1</v>
      </c>
      <c r="I38" s="153" t="str">
        <f>IF($B38=0,"",VLOOKUP($B38,Materials!$B$2:$H$127,5,FALSE))</f>
        <v>acre</v>
      </c>
      <c r="J38" s="142">
        <f>IF($B38=0,"",VLOOKUP($B38,Materials!$B$2:$H$127,7,FALSE))</f>
        <v>2</v>
      </c>
      <c r="K38" s="150">
        <f t="shared" ref="K38:K55" si="2">IF(B38=0,0,ROUND(G38*H38*J38,2))</f>
        <v>2</v>
      </c>
      <c r="L38" s="143"/>
    </row>
    <row r="39" spans="1:12" x14ac:dyDescent="0.2">
      <c r="A39" s="175"/>
      <c r="B39" s="204" t="s">
        <v>568</v>
      </c>
      <c r="C39" s="220" t="str">
        <f>IF(B39=0,"",VLOOKUP($B39,Materials!$B$2:$H$127,2,FALSE))</f>
        <v>Other</v>
      </c>
      <c r="D39" s="220"/>
      <c r="E39" s="220"/>
      <c r="F39" s="206"/>
      <c r="G39" s="211">
        <v>1</v>
      </c>
      <c r="H39" s="210">
        <v>1</v>
      </c>
      <c r="I39" s="153" t="str">
        <f>IF($B39=0,"",VLOOKUP($B39,Materials!$B$2:$H$127,5,FALSE))</f>
        <v>acre</v>
      </c>
      <c r="J39" s="142">
        <f>IF($B39=0,"",VLOOKUP($B39,Materials!$B$2:$H$127,7,FALSE))</f>
        <v>2</v>
      </c>
      <c r="K39" s="150">
        <f t="shared" si="2"/>
        <v>2</v>
      </c>
      <c r="L39" s="143"/>
    </row>
    <row r="40" spans="1:12" x14ac:dyDescent="0.2">
      <c r="A40" s="175"/>
      <c r="B40" s="204" t="s">
        <v>40</v>
      </c>
      <c r="C40" s="220" t="str">
        <f>IF(B40=0,"",VLOOKUP($B40,Materials!$B$2:$H$127,2,FALSE))</f>
        <v>Other</v>
      </c>
      <c r="D40" s="220"/>
      <c r="E40" s="220"/>
      <c r="F40" s="206"/>
      <c r="G40" s="211">
        <v>1</v>
      </c>
      <c r="H40" s="210">
        <v>1</v>
      </c>
      <c r="I40" s="153" t="str">
        <f>IF($B40=0,"",VLOOKUP($B40,Materials!$B$2:$H$127,5,FALSE))</f>
        <v>hour</v>
      </c>
      <c r="J40" s="142">
        <f>IF($B40=0,"",VLOOKUP($B40,Materials!$B$2:$H$127,7,FALSE))</f>
        <v>20</v>
      </c>
      <c r="K40" s="150">
        <f t="shared" si="2"/>
        <v>20</v>
      </c>
      <c r="L40" s="143"/>
    </row>
    <row r="41" spans="1:12" hidden="1" x14ac:dyDescent="0.2">
      <c r="A41" s="175"/>
      <c r="B41" s="203"/>
      <c r="C41" s="220" t="str">
        <f>IF(B41=0,"",VLOOKUP($B41,Materials!$B$2:$H$127,2,FALSE))</f>
        <v/>
      </c>
      <c r="D41" s="220"/>
      <c r="E41" s="220"/>
      <c r="F41" s="205"/>
      <c r="G41" s="207"/>
      <c r="H41" s="209"/>
      <c r="I41" s="153" t="str">
        <f>IF($B41=0,"",VLOOKUP($B41,Materials!$B$2:$H$127,5,FALSE))</f>
        <v/>
      </c>
      <c r="J41" s="142" t="str">
        <f>IF($B41=0,"",VLOOKUP($B41,Materials!$B$2:$H$127,7,FALSE))</f>
        <v/>
      </c>
      <c r="K41" s="150">
        <f t="shared" si="2"/>
        <v>0</v>
      </c>
      <c r="L41" s="143"/>
    </row>
    <row r="42" spans="1:12" hidden="1" x14ac:dyDescent="0.2">
      <c r="A42" s="175"/>
      <c r="B42" s="203"/>
      <c r="C42" s="220" t="str">
        <f>IF(B42=0,"",VLOOKUP($B42,Materials!$B$2:$H$127,2,FALSE))</f>
        <v/>
      </c>
      <c r="D42" s="220"/>
      <c r="E42" s="220"/>
      <c r="F42" s="205"/>
      <c r="G42" s="207"/>
      <c r="H42" s="209"/>
      <c r="I42" s="153" t="str">
        <f>IF($B42=0,"",VLOOKUP($B42,Materials!$B$2:$H$127,5,FALSE))</f>
        <v/>
      </c>
      <c r="J42" s="142" t="str">
        <f>IF($B42=0,"",VLOOKUP($B42,Materials!$B$2:$H$127,7,FALSE))</f>
        <v/>
      </c>
      <c r="K42" s="150">
        <f t="shared" si="2"/>
        <v>0</v>
      </c>
      <c r="L42" s="143"/>
    </row>
    <row r="43" spans="1:12" hidden="1" x14ac:dyDescent="0.2">
      <c r="A43" s="180"/>
      <c r="B43" s="203"/>
      <c r="C43" s="220" t="str">
        <f>IF(B43=0,"",VLOOKUP($B43,Materials!$B$2:$H$127,2,FALSE))</f>
        <v/>
      </c>
      <c r="D43" s="220"/>
      <c r="E43" s="220"/>
      <c r="F43" s="205"/>
      <c r="G43" s="207"/>
      <c r="H43" s="208"/>
      <c r="I43" s="153" t="str">
        <f>IF($B43=0,"",VLOOKUP($B43,Materials!$B$2:$H$127,5,FALSE))</f>
        <v/>
      </c>
      <c r="J43" s="142" t="str">
        <f>IF($B43=0,"",VLOOKUP($B43,Materials!$B$2:$H$127,7,FALSE))</f>
        <v/>
      </c>
      <c r="K43" s="150">
        <f t="shared" si="2"/>
        <v>0</v>
      </c>
      <c r="L43" s="143"/>
    </row>
    <row r="44" spans="1:12" hidden="1" x14ac:dyDescent="0.2">
      <c r="A44" s="180"/>
      <c r="B44" s="203"/>
      <c r="C44" s="220" t="str">
        <f>IF(B44=0,"",VLOOKUP($B44,Materials!$B$2:$H$127,2,FALSE))</f>
        <v/>
      </c>
      <c r="D44" s="220"/>
      <c r="E44" s="220"/>
      <c r="F44" s="205"/>
      <c r="G44" s="207"/>
      <c r="H44" s="208"/>
      <c r="I44" s="153" t="str">
        <f>IF($B44=0,"",VLOOKUP($B44,Materials!$B$2:$H$127,5,FALSE))</f>
        <v/>
      </c>
      <c r="J44" s="142" t="str">
        <f>IF($B44=0,"",VLOOKUP($B44,Materials!$B$2:$H$127,7,FALSE))</f>
        <v/>
      </c>
      <c r="K44" s="150">
        <f t="shared" si="2"/>
        <v>0</v>
      </c>
      <c r="L44" s="143"/>
    </row>
    <row r="45" spans="1:12" hidden="1" x14ac:dyDescent="0.2">
      <c r="A45" s="180"/>
      <c r="B45" s="203"/>
      <c r="C45" s="220" t="str">
        <f>IF(B45=0,"",VLOOKUP($B45,Materials!$B$2:$H$127,2,FALSE))</f>
        <v/>
      </c>
      <c r="D45" s="220"/>
      <c r="E45" s="220"/>
      <c r="F45" s="205"/>
      <c r="G45" s="207"/>
      <c r="H45" s="208"/>
      <c r="I45" s="153" t="str">
        <f>IF($B45=0,"",VLOOKUP($B45,Materials!$B$2:$H$127,5,FALSE))</f>
        <v/>
      </c>
      <c r="J45" s="142" t="str">
        <f>IF($B45=0,"",VLOOKUP($B45,Materials!$B$2:$H$127,7,FALSE))</f>
        <v/>
      </c>
      <c r="K45" s="150">
        <f t="shared" si="2"/>
        <v>0</v>
      </c>
      <c r="L45" s="143"/>
    </row>
    <row r="46" spans="1:12" hidden="1" x14ac:dyDescent="0.2">
      <c r="A46" s="180"/>
      <c r="B46" s="203"/>
      <c r="C46" s="220" t="str">
        <f>IF(B46=0,"",VLOOKUP($B46,Materials!$B$2:$H$127,2,FALSE))</f>
        <v/>
      </c>
      <c r="D46" s="220"/>
      <c r="E46" s="220"/>
      <c r="F46" s="205"/>
      <c r="G46" s="207"/>
      <c r="H46" s="208"/>
      <c r="I46" s="153" t="str">
        <f>IF($B46=0,"",VLOOKUP($B46,Materials!$B$2:$H$127,5,FALSE))</f>
        <v/>
      </c>
      <c r="J46" s="142" t="str">
        <f>IF($B46=0,"",VLOOKUP($B46,Materials!$B$2:$H$127,7,FALSE))</f>
        <v/>
      </c>
      <c r="K46" s="150">
        <f t="shared" si="2"/>
        <v>0</v>
      </c>
      <c r="L46" s="143"/>
    </row>
    <row r="47" spans="1:12" hidden="1" x14ac:dyDescent="0.2">
      <c r="A47" s="180"/>
      <c r="B47" s="203"/>
      <c r="C47" s="220" t="str">
        <f>IF(B47=0,"",VLOOKUP($B47,Materials!$B$2:$H$127,2,FALSE))</f>
        <v/>
      </c>
      <c r="D47" s="220"/>
      <c r="E47" s="220"/>
      <c r="F47" s="205"/>
      <c r="G47" s="207"/>
      <c r="H47" s="208"/>
      <c r="I47" s="153" t="str">
        <f>IF($B47=0,"",VLOOKUP($B47,Materials!$B$2:$H$127,5,FALSE))</f>
        <v/>
      </c>
      <c r="J47" s="142" t="str">
        <f>IF($B47=0,"",VLOOKUP($B47,Materials!$B$2:$H$127,7,FALSE))</f>
        <v/>
      </c>
      <c r="K47" s="150">
        <f t="shared" si="2"/>
        <v>0</v>
      </c>
      <c r="L47" s="143"/>
    </row>
    <row r="48" spans="1:12" hidden="1" x14ac:dyDescent="0.2">
      <c r="A48" s="175"/>
      <c r="B48" s="203"/>
      <c r="C48" s="220" t="str">
        <f>IF(B48=0,"",VLOOKUP($B48,Materials!$B$2:$H$127,2,FALSE))</f>
        <v/>
      </c>
      <c r="D48" s="220"/>
      <c r="E48" s="220"/>
      <c r="F48" s="205"/>
      <c r="G48" s="207"/>
      <c r="H48" s="208"/>
      <c r="I48" s="153" t="str">
        <f>IF($B48=0,"",VLOOKUP($B48,Materials!$B$2:$H$127,5,FALSE))</f>
        <v/>
      </c>
      <c r="J48" s="142" t="str">
        <f>IF($B48=0,"",VLOOKUP($B48,Materials!$B$2:$H$127,7,FALSE))</f>
        <v/>
      </c>
      <c r="K48" s="150">
        <f t="shared" si="2"/>
        <v>0</v>
      </c>
      <c r="L48" s="143"/>
    </row>
    <row r="49" spans="1:12" hidden="1" x14ac:dyDescent="0.2">
      <c r="A49" s="175"/>
      <c r="B49" s="203"/>
      <c r="C49" s="220" t="str">
        <f>IF(B49=0,"",VLOOKUP($B49,Materials!$B$2:$H$127,2,FALSE))</f>
        <v/>
      </c>
      <c r="D49" s="220"/>
      <c r="E49" s="220"/>
      <c r="F49" s="205"/>
      <c r="G49" s="207"/>
      <c r="H49" s="208"/>
      <c r="I49" s="153" t="str">
        <f>IF($B49=0,"",VLOOKUP($B49,Materials!$B$2:$H$127,5,FALSE))</f>
        <v/>
      </c>
      <c r="J49" s="142" t="str">
        <f>IF($B49=0,"",VLOOKUP($B49,Materials!$B$2:$H$127,7,FALSE))</f>
        <v/>
      </c>
      <c r="K49" s="150">
        <f t="shared" si="2"/>
        <v>0</v>
      </c>
      <c r="L49" s="143"/>
    </row>
    <row r="50" spans="1:12" hidden="1" x14ac:dyDescent="0.2">
      <c r="B50" s="204"/>
      <c r="C50" s="220" t="str">
        <f>IF(B50=0,"",VLOOKUP($B50,Materials!$B$2:$H$127,2,FALSE))</f>
        <v/>
      </c>
      <c r="D50" s="220"/>
      <c r="E50" s="220"/>
      <c r="F50" s="206"/>
      <c r="G50" s="207"/>
      <c r="H50" s="210"/>
      <c r="I50" s="153" t="str">
        <f>IF($B50=0,"",VLOOKUP($B50,Materials!$B$2:$H$127,5,FALSE))</f>
        <v/>
      </c>
      <c r="J50" s="142" t="str">
        <f>IF($B50=0,"",VLOOKUP($B50,Materials!$B$2:$H$127,7,FALSE))</f>
        <v/>
      </c>
      <c r="K50" s="150">
        <f t="shared" si="2"/>
        <v>0</v>
      </c>
      <c r="L50" s="143"/>
    </row>
    <row r="51" spans="1:12" hidden="1" x14ac:dyDescent="0.2">
      <c r="B51" s="204"/>
      <c r="C51" s="220" t="str">
        <f>IF(B51=0,"",VLOOKUP($B51,Materials!$B$2:$H$127,2,FALSE))</f>
        <v/>
      </c>
      <c r="D51" s="220"/>
      <c r="E51" s="220"/>
      <c r="F51" s="206"/>
      <c r="G51" s="207"/>
      <c r="H51" s="210"/>
      <c r="I51" s="153" t="str">
        <f>IF($B51=0,"",VLOOKUP($B51,Materials!$B$2:$H$127,5,FALSE))</f>
        <v/>
      </c>
      <c r="J51" s="142" t="str">
        <f>IF($B51=0,"",VLOOKUP($B51,Materials!$B$2:$H$127,7,FALSE))</f>
        <v/>
      </c>
      <c r="K51" s="150">
        <f t="shared" si="2"/>
        <v>0</v>
      </c>
      <c r="L51" s="143"/>
    </row>
    <row r="52" spans="1:12" hidden="1" x14ac:dyDescent="0.2">
      <c r="B52" s="204"/>
      <c r="C52" s="220" t="str">
        <f>IF(B52=0,"",VLOOKUP($B52,Materials!$B$2:$H$127,2,FALSE))</f>
        <v/>
      </c>
      <c r="D52" s="220"/>
      <c r="E52" s="220"/>
      <c r="F52" s="206"/>
      <c r="G52" s="211"/>
      <c r="H52" s="210"/>
      <c r="I52" s="153" t="str">
        <f>IF($B52=0,"",VLOOKUP($B52,Materials!$B$2:$H$127,5,FALSE))</f>
        <v/>
      </c>
      <c r="J52" s="142" t="str">
        <f>IF($B52=0,"",VLOOKUP($B52,Materials!$B$2:$H$127,7,FALSE))</f>
        <v/>
      </c>
      <c r="K52" s="150">
        <f t="shared" si="2"/>
        <v>0</v>
      </c>
      <c r="L52" s="143"/>
    </row>
    <row r="53" spans="1:12" hidden="1" x14ac:dyDescent="0.2">
      <c r="B53" s="204"/>
      <c r="C53" s="220" t="str">
        <f>IF(B53=0,"",VLOOKUP($B53,Materials!$B$2:$H$127,2,FALSE))</f>
        <v/>
      </c>
      <c r="D53" s="220"/>
      <c r="E53" s="220"/>
      <c r="F53" s="206"/>
      <c r="G53" s="211"/>
      <c r="H53" s="210"/>
      <c r="I53" s="153" t="str">
        <f>IF($B53=0,"",VLOOKUP($B53,Materials!$B$2:$H$127,5,FALSE))</f>
        <v/>
      </c>
      <c r="J53" s="142" t="str">
        <f>IF($B53=0,"",VLOOKUP($B53,Materials!$B$2:$H$127,7,FALSE))</f>
        <v/>
      </c>
      <c r="K53" s="150">
        <f t="shared" si="2"/>
        <v>0</v>
      </c>
      <c r="L53" s="143"/>
    </row>
    <row r="54" spans="1:12" hidden="1" x14ac:dyDescent="0.2">
      <c r="B54" s="204"/>
      <c r="C54" s="220" t="str">
        <f>IF(B54=0,"",VLOOKUP($B54,Materials!$B$2:$H$127,2,FALSE))</f>
        <v/>
      </c>
      <c r="D54" s="220"/>
      <c r="E54" s="220"/>
      <c r="F54" s="206"/>
      <c r="G54" s="211"/>
      <c r="H54" s="210"/>
      <c r="I54" s="153" t="str">
        <f>IF($B54=0,"",VLOOKUP($B54,Materials!$B$2:$H$127,5,FALSE))</f>
        <v/>
      </c>
      <c r="J54" s="142" t="str">
        <f>IF($B54=0,"",VLOOKUP($B54,Materials!$B$2:$H$127,7,FALSE))</f>
        <v/>
      </c>
      <c r="K54" s="150">
        <f t="shared" si="2"/>
        <v>0</v>
      </c>
      <c r="L54" s="143"/>
    </row>
    <row r="55" spans="1:12" hidden="1" x14ac:dyDescent="0.2">
      <c r="B55" s="204"/>
      <c r="C55" s="220" t="str">
        <f>IF(B55=0,"",VLOOKUP($B55,Materials!$B$2:$H$127,2,FALSE))</f>
        <v/>
      </c>
      <c r="D55" s="220"/>
      <c r="E55" s="220"/>
      <c r="F55" s="206"/>
      <c r="G55" s="211"/>
      <c r="H55" s="210"/>
      <c r="I55" s="153" t="str">
        <f>IF($B55=0,"",VLOOKUP($B55,Materials!$B$2:$H$127,5,FALSE))</f>
        <v/>
      </c>
      <c r="J55" s="142" t="str">
        <f>IF($B55=0,"",VLOOKUP($B55,Materials!$B$2:$H$127,7,FALSE))</f>
        <v/>
      </c>
      <c r="K55" s="150">
        <f t="shared" si="2"/>
        <v>0</v>
      </c>
      <c r="L55" s="145"/>
    </row>
    <row r="56" spans="1:12" hidden="1" x14ac:dyDescent="0.2">
      <c r="B56" s="204"/>
      <c r="C56" s="220" t="str">
        <f>IF(B56=0,"",VLOOKUP($B56,Materials!$B$2:$H$127,2,FALSE))</f>
        <v/>
      </c>
      <c r="D56" s="220"/>
      <c r="E56" s="220"/>
      <c r="F56" s="206"/>
      <c r="G56" s="211"/>
      <c r="H56" s="210"/>
      <c r="I56" s="153" t="str">
        <f>IF($B56=0,"",VLOOKUP($B56,Materials!$B$2:$H$127,5,FALSE))</f>
        <v/>
      </c>
      <c r="J56" s="142" t="str">
        <f>IF($B56=0,"",VLOOKUP($B56,Materials!$B$2:$H$127,7,FALSE))</f>
        <v/>
      </c>
      <c r="K56" s="150">
        <f>IF(B56=0,0,ROUND(G56*H56*J56,2))</f>
        <v>0</v>
      </c>
      <c r="L56" s="145"/>
    </row>
    <row r="57" spans="1:12" hidden="1" x14ac:dyDescent="0.2">
      <c r="B57" s="204"/>
      <c r="C57" s="220" t="str">
        <f>IF(B57=0,"",VLOOKUP($B57,Materials!$B$2:$H$127,2,FALSE))</f>
        <v/>
      </c>
      <c r="D57" s="220"/>
      <c r="E57" s="220"/>
      <c r="F57" s="206"/>
      <c r="G57" s="211"/>
      <c r="H57" s="210"/>
      <c r="I57" s="153" t="str">
        <f>IF($B57=0,"",VLOOKUP($B57,Materials!$B$2:$H$127,5,FALSE))</f>
        <v/>
      </c>
      <c r="J57" s="142" t="str">
        <f>IF($B57=0,"",VLOOKUP($B57,Materials!$B$2:$H$127,7,FALSE))</f>
        <v/>
      </c>
      <c r="K57" s="150">
        <f>IF(B57=0,0,ROUND(G57*H57*J57,2))</f>
        <v>0</v>
      </c>
      <c r="L57" s="145"/>
    </row>
    <row r="58" spans="1:12" hidden="1" x14ac:dyDescent="0.2">
      <c r="B58" s="204"/>
      <c r="C58" s="220" t="str">
        <f>IF(B58=0,"",VLOOKUP($B58,Materials!$B$2:$H$127,2,FALSE))</f>
        <v/>
      </c>
      <c r="D58" s="220"/>
      <c r="E58" s="220"/>
      <c r="F58" s="206"/>
      <c r="G58" s="211"/>
      <c r="H58" s="210"/>
      <c r="I58" s="153" t="str">
        <f>IF($B58=0,"",VLOOKUP($B58,Materials!$B$2:$H$127,5,FALSE))</f>
        <v/>
      </c>
      <c r="J58" s="142" t="str">
        <f>IF($B58=0,"",VLOOKUP($B58,Materials!$B$2:$H$127,7,FALSE))</f>
        <v/>
      </c>
      <c r="K58" s="150">
        <f>IF(B58=0,0,ROUND(G58*H58*J58,2))</f>
        <v>0</v>
      </c>
      <c r="L58" s="145"/>
    </row>
    <row r="59" spans="1:12" hidden="1" x14ac:dyDescent="0.2">
      <c r="B59" s="204"/>
      <c r="C59" s="220" t="str">
        <f>IF(B59=0,"",VLOOKUP($B59,Materials!$B$2:$H$127,2,FALSE))</f>
        <v/>
      </c>
      <c r="D59" s="220"/>
      <c r="E59" s="220"/>
      <c r="F59" s="206"/>
      <c r="G59" s="211"/>
      <c r="H59" s="210"/>
      <c r="I59" s="153" t="str">
        <f>IF($B59=0,"",VLOOKUP($B59,Materials!$B$2:$H$127,5,FALSE))</f>
        <v/>
      </c>
      <c r="J59" s="142" t="str">
        <f>IF($B59=0,"",VLOOKUP($B59,Materials!$B$2:$H$127,7,FALSE))</f>
        <v/>
      </c>
      <c r="K59" s="150">
        <f>IF(B59=0,0,ROUND(G59*H59*J59,2))</f>
        <v>0</v>
      </c>
      <c r="L59" s="145"/>
    </row>
    <row r="60" spans="1:12" hidden="1" x14ac:dyDescent="0.2">
      <c r="B60" s="204"/>
      <c r="C60" s="220" t="str">
        <f>IF(B60=0,"",VLOOKUP($B60,Materials!$B$2:$H$127,2,FALSE))</f>
        <v/>
      </c>
      <c r="D60" s="220"/>
      <c r="E60" s="220"/>
      <c r="F60" s="206"/>
      <c r="G60" s="211"/>
      <c r="H60" s="210"/>
      <c r="I60" s="153" t="str">
        <f>IF($B60=0,"",VLOOKUP($B60,Materials!$B$2:$H$127,5,FALSE))</f>
        <v/>
      </c>
      <c r="J60" s="142" t="str">
        <f>IF($B60=0,"",VLOOKUP($B60,Materials!$B$2:$H$127,7,FALSE))</f>
        <v/>
      </c>
      <c r="K60" s="150">
        <f>IF(B60=0,0,ROUND(G60*H60*J60,2))</f>
        <v>0</v>
      </c>
      <c r="L60" s="145"/>
    </row>
    <row r="61" spans="1:12" hidden="1" x14ac:dyDescent="0.2">
      <c r="B61" s="204"/>
      <c r="C61" s="220">
        <f>IF(B61=0,0,"Crop Insurance")</f>
        <v>0</v>
      </c>
      <c r="D61" s="220"/>
      <c r="E61" s="220"/>
      <c r="F61" s="144"/>
      <c r="G61" s="201"/>
      <c r="H61" s="202"/>
      <c r="I61" s="195"/>
      <c r="J61" s="142"/>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126.67</v>
      </c>
      <c r="L63" s="143"/>
    </row>
    <row r="64" spans="1:12" x14ac:dyDescent="0.2">
      <c r="B64" s="181"/>
      <c r="K64" s="161"/>
    </row>
    <row r="65" spans="2:12" x14ac:dyDescent="0.2">
      <c r="B65" s="140" t="s">
        <v>552</v>
      </c>
      <c r="K65" s="161">
        <f>K33+K63</f>
        <v>287.13</v>
      </c>
      <c r="L65" s="143"/>
    </row>
    <row r="66" spans="2:12" ht="13.5" thickBot="1" x14ac:dyDescent="0.25">
      <c r="D66" s="162" t="s">
        <v>570</v>
      </c>
      <c r="E66" s="163">
        <f>ROUND(SUM($E$33:$H$33)+$K$63,2)</f>
        <v>260.81</v>
      </c>
      <c r="F66" s="222" t="s">
        <v>362</v>
      </c>
      <c r="G66" s="222"/>
      <c r="H66" s="164">
        <f>'General Variables'!$B$11</f>
        <v>5.5E-2</v>
      </c>
      <c r="I66" s="165" t="str">
        <f>CONCATENATE("for ",TEXT('General Variables'!$B$12,"0.0")," mo.")</f>
        <v>for 6.0 mo.</v>
      </c>
      <c r="K66" s="166">
        <f>E66*H66*'General Variables'!$B$12/12</f>
        <v>7.172275</v>
      </c>
      <c r="L66" s="167"/>
    </row>
    <row r="67" spans="2:12" ht="13.5" thickTop="1" x14ac:dyDescent="0.2">
      <c r="B67" s="140" t="s">
        <v>366</v>
      </c>
      <c r="K67" s="161">
        <f>SUM(K65:K66)</f>
        <v>294.30227500000001</v>
      </c>
      <c r="L67" s="143"/>
    </row>
    <row r="68" spans="2:12" x14ac:dyDescent="0.2">
      <c r="K68" s="161"/>
    </row>
    <row r="69" spans="2:12" x14ac:dyDescent="0.2">
      <c r="B69" s="168" t="s">
        <v>588</v>
      </c>
      <c r="C69" s="169"/>
      <c r="D69" s="169"/>
      <c r="E69" s="169"/>
      <c r="F69" s="169"/>
      <c r="G69" s="169"/>
      <c r="H69" s="169"/>
      <c r="I69" s="169"/>
      <c r="J69" s="169"/>
      <c r="K69" s="170">
        <f>'General Variables'!B14</f>
        <v>20</v>
      </c>
      <c r="L69" s="143"/>
    </row>
    <row r="70" spans="2:12" x14ac:dyDescent="0.2">
      <c r="B70" s="129" t="s">
        <v>369</v>
      </c>
      <c r="C70" s="223" t="s">
        <v>526</v>
      </c>
      <c r="D70" s="224"/>
      <c r="E70" s="225"/>
      <c r="F70" s="171">
        <f>IF(C70=0,0,VLOOKUP(C70,RETable,2,FALSE))</f>
        <v>5120.5</v>
      </c>
      <c r="G70" s="222" t="s">
        <v>370</v>
      </c>
      <c r="H70" s="222"/>
      <c r="I70" s="164">
        <f>'General Variables'!$B$10</f>
        <v>0.04</v>
      </c>
      <c r="K70" s="172">
        <f>ROUND(F70*I70,2)</f>
        <v>204.82</v>
      </c>
      <c r="L70" s="143"/>
    </row>
    <row r="71" spans="2:12" ht="13.5" thickBot="1" x14ac:dyDescent="0.25">
      <c r="B71" s="129" t="s">
        <v>378</v>
      </c>
      <c r="F71" s="173">
        <f>IF(C70=0,0,VLOOKUP(C70,RETable,2,FALSE))</f>
        <v>5120.5</v>
      </c>
      <c r="G71" s="221" t="s">
        <v>370</v>
      </c>
      <c r="H71" s="221"/>
      <c r="I71" s="174">
        <f>'General Variables'!$B$13</f>
        <v>0.01</v>
      </c>
      <c r="J71" s="175"/>
      <c r="K71" s="176">
        <f>ROUND(F71*I71,2)</f>
        <v>51.21</v>
      </c>
      <c r="L71" s="167"/>
    </row>
    <row r="72" spans="2:12" ht="13.5" thickTop="1" x14ac:dyDescent="0.2">
      <c r="B72" s="140" t="s">
        <v>383</v>
      </c>
      <c r="K72" s="161">
        <f>SUM(K67:K71)</f>
        <v>570.33227499999998</v>
      </c>
      <c r="L72" s="143"/>
    </row>
    <row r="73" spans="2:12" x14ac:dyDescent="0.2">
      <c r="K73" s="162"/>
    </row>
    <row r="74" spans="2:12" x14ac:dyDescent="0.2">
      <c r="B74" s="140" t="str">
        <f>"Cost per "&amp;$B$4</f>
        <v>Cost per AUM</v>
      </c>
      <c r="K74" s="177">
        <f>IF(A4="Yield",0,K72/$A$4)</f>
        <v>51.848388636363637</v>
      </c>
      <c r="L74" s="143"/>
    </row>
    <row r="75" spans="2:12" x14ac:dyDescent="0.2">
      <c r="B75" s="178" t="str">
        <f>"Cash Cost per "&amp;$B$4</f>
        <v>Cash Cost per AUM</v>
      </c>
      <c r="C75" s="175"/>
      <c r="D75" s="175"/>
      <c r="E75" s="175"/>
      <c r="F75" s="175"/>
      <c r="G75" s="175"/>
      <c r="H75" s="175"/>
      <c r="I75" s="175"/>
      <c r="J75" s="175"/>
      <c r="K75" s="179">
        <f>IF($A$4="Yield",0,(E66+K66+K71)/$A$4)</f>
        <v>29.017479545454545</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505</v>
      </c>
    </row>
    <row r="112" spans="2:11" x14ac:dyDescent="0.2">
      <c r="B112" s="175"/>
      <c r="C112" s="175"/>
      <c r="D112" s="175"/>
      <c r="H112" s="129" t="str">
        <f>'General Variables'!A20</f>
        <v>Corn Irrigated</v>
      </c>
      <c r="K112" s="129" t="s">
        <v>506</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3">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48-Peas</v>
      </c>
      <c r="B2" s="138"/>
      <c r="C2" s="136" t="s">
        <v>577</v>
      </c>
      <c r="D2" s="136"/>
      <c r="E2" s="138"/>
      <c r="I2" s="189" t="s">
        <v>419</v>
      </c>
      <c r="J2" s="138"/>
      <c r="L2" s="134" t="str">
        <f>'General Variables'!A3&amp;" "&amp;'General Variables'!B3</f>
        <v>Year 2016</v>
      </c>
      <c r="O2" s="135" t="s">
        <v>407</v>
      </c>
    </row>
    <row r="3" spans="1:15" hidden="1" x14ac:dyDescent="0.2">
      <c r="A3" s="137" t="s">
        <v>492</v>
      </c>
      <c r="B3" s="138"/>
      <c r="C3" s="136"/>
      <c r="D3" s="136"/>
      <c r="E3" s="138"/>
      <c r="G3" s="136"/>
      <c r="I3" s="138" t="s">
        <v>539</v>
      </c>
      <c r="O3" s="135" t="s">
        <v>406</v>
      </c>
    </row>
    <row r="4" spans="1:15" hidden="1" x14ac:dyDescent="0.2">
      <c r="A4" s="137">
        <v>35</v>
      </c>
      <c r="B4" s="137" t="s">
        <v>56</v>
      </c>
      <c r="C4" s="136"/>
      <c r="D4" s="136"/>
      <c r="E4" s="138"/>
      <c r="F4" s="138"/>
      <c r="G4" s="138"/>
      <c r="H4" s="138"/>
      <c r="I4" s="138"/>
      <c r="J4" s="139" t="s">
        <v>504</v>
      </c>
      <c r="K4" s="140"/>
      <c r="O4" s="135" t="str">
        <f>B4</f>
        <v>bu</v>
      </c>
    </row>
    <row r="5" spans="1:15" ht="15.75" hidden="1" x14ac:dyDescent="0.25">
      <c r="A5" s="219" t="str">
        <f ca="1" xml:space="preserve"> A2  &amp; IF(C2="","",  ", " &amp;C2 ) &amp; ", " &amp; A3 &amp; ", " &amp; I2</f>
        <v>48-Peas, Panhandle, No-Till, Dryland</v>
      </c>
      <c r="B5" s="219"/>
      <c r="C5" s="219"/>
      <c r="D5" s="219"/>
      <c r="E5" s="219"/>
      <c r="F5" s="219"/>
      <c r="G5" s="219"/>
      <c r="H5" s="219"/>
      <c r="I5" s="219"/>
      <c r="J5" s="219"/>
      <c r="K5" s="219"/>
      <c r="L5" s="219"/>
      <c r="O5" s="135"/>
    </row>
    <row r="6" spans="1:15" ht="15.75" hidden="1" x14ac:dyDescent="0.25">
      <c r="A6" s="194"/>
      <c r="B6" s="194"/>
      <c r="C6" s="194"/>
      <c r="D6" s="194"/>
      <c r="E6" s="194"/>
      <c r="F6" s="194"/>
      <c r="G6" s="194"/>
      <c r="H6" s="194"/>
      <c r="I6" s="194"/>
      <c r="J6" s="194"/>
      <c r="K6" s="194"/>
      <c r="L6" s="194"/>
      <c r="O6" s="135"/>
    </row>
    <row r="7" spans="1:15" ht="30" customHeight="1" x14ac:dyDescent="0.25">
      <c r="A7" s="219" t="str">
        <f ca="1">'General Variables'!B3 &amp; " Budget "  &amp; A2 &amp;", "  &amp; IF(C2=0,"", " " &amp; C2 &amp; ", ") &amp;  A3 &amp; IF(A4=""," ", " (") &amp; A4 &amp; " " &amp; B4 &amp; IF(A4="",""," Actual Yield)")</f>
        <v>2016 Budget 48-Peas,  Panhandle, No-Till (35 bu Actual Yield)</v>
      </c>
      <c r="B7" s="219"/>
      <c r="C7" s="219"/>
      <c r="D7" s="219"/>
      <c r="E7" s="219"/>
      <c r="F7" s="219"/>
      <c r="G7" s="219"/>
      <c r="H7" s="219"/>
      <c r="I7" s="219"/>
      <c r="J7" s="219"/>
      <c r="K7" s="219"/>
      <c r="L7" s="219"/>
      <c r="O7" s="135"/>
    </row>
    <row r="8" spans="1:15" ht="15.75" x14ac:dyDescent="0.25">
      <c r="A8" s="141" t="str">
        <f>IF(I2="Dryland","Dryland",I2 &amp; IF(J2="","",", "&amp;J2)&amp;IF(H3="","",", "&amp;H3&amp;" "&amp;I3))</f>
        <v>Dryland</v>
      </c>
      <c r="B8" s="137"/>
      <c r="C8" s="136"/>
      <c r="D8" s="136"/>
      <c r="E8" s="138"/>
      <c r="F8" s="138"/>
      <c r="G8" s="138"/>
      <c r="H8" s="138"/>
      <c r="I8" s="138"/>
      <c r="O8" s="135"/>
    </row>
    <row r="10" spans="1:15" s="140" customFormat="1" ht="22.5" customHeight="1" x14ac:dyDescent="0.2">
      <c r="B10" s="228" t="s">
        <v>71</v>
      </c>
      <c r="C10" s="227" t="s">
        <v>1</v>
      </c>
      <c r="D10" s="198"/>
      <c r="E10" s="227" t="str">
        <f>"Labor @ $" &amp;TEXT('General Variables'!B4,"#.00")&amp; " /Hr"</f>
        <v>Labor @ $20.00 /Hr</v>
      </c>
      <c r="F10" s="227" t="str">
        <f>"Fuel @ $" &amp; TEXT('General Variables'!B5,"#.00") &amp; " and Lube"</f>
        <v>Fuel @ $2.25 and Lube</v>
      </c>
      <c r="G10" s="230" t="s">
        <v>72</v>
      </c>
      <c r="H10" s="230"/>
      <c r="I10" s="230" t="s">
        <v>354</v>
      </c>
      <c r="J10" s="230"/>
      <c r="K10" s="230" t="s">
        <v>2</v>
      </c>
      <c r="L10" s="227" t="s">
        <v>361</v>
      </c>
    </row>
    <row r="11" spans="1:15" s="140" customFormat="1" ht="21.75" customHeight="1" thickBot="1" x14ac:dyDescent="0.25">
      <c r="B11" s="229"/>
      <c r="C11" s="226"/>
      <c r="D11" s="197" t="s">
        <v>70</v>
      </c>
      <c r="E11" s="226"/>
      <c r="F11" s="226"/>
      <c r="G11" s="199" t="s">
        <v>73</v>
      </c>
      <c r="H11" s="199" t="s">
        <v>75</v>
      </c>
      <c r="I11" s="199" t="s">
        <v>73</v>
      </c>
      <c r="J11" s="199" t="s">
        <v>75</v>
      </c>
      <c r="K11" s="231"/>
      <c r="L11" s="226"/>
    </row>
    <row r="12" spans="1:15" ht="13.5" thickTop="1" x14ac:dyDescent="0.2">
      <c r="A12" s="196">
        <v>1</v>
      </c>
      <c r="B12" s="203" t="s">
        <v>285</v>
      </c>
      <c r="C12" s="205">
        <v>1</v>
      </c>
      <c r="D12" s="200"/>
      <c r="E12" s="142">
        <f>IF(B12=0,"",IF(C12&gt;9999,"",ROUND('General Variables'!$B$4*VLOOKUP(B12,Operations!$A$2:$U$101,10,FALSE)/VLOOKUP(B12,Operations!$A$2:$U$101,9,FALSE)*C12,2)))</f>
        <v>1.83</v>
      </c>
      <c r="F12" s="142">
        <f>IF(B12=0,0,IF(C12&gt;9999,"",ROUND(IF(VLOOKUP(B12,Operations!$A$2:$U$101,12,FALSE)=0,VLOOKUP(B12,Operations!$A$2:$U$101,13,FALSE)*'General Variables'!$B$8,VLOOKUP(B12,Operations!$A$2:$U$101,12,FALSE)*'General Variables'!$B$7)/VLOOKUP(B12,Operations!$A$2:$U$101,9,FALSE)*C12,2)))</f>
        <v>1.31</v>
      </c>
      <c r="G12" s="142">
        <f>IF(B12=0,0,IF(C12&gt;9999,"",ROUND(VLOOKUP(VLOOKUP(B12,Operations!$A$2:$U$101,11,FALSE),PowerUnits[],10,FALSE)/VLOOKUP(B12,Operations!$A$2:$U$101,9,FALSE)*C12,2)))</f>
        <v>0.69</v>
      </c>
      <c r="H12" s="142">
        <f>IF(B12=0,"",IF(C12&gt;9999,"",ROUND(VLOOKUP($B12,Operations!$A$2:$U$101,15,FALSE)*C12,2)))</f>
        <v>1.57</v>
      </c>
      <c r="I12" s="142">
        <f>IF(B12=0,0,IF(C12&gt;9999,"",ROUND(VLOOKUP(VLOOKUP(B12,Operations!$A$2:$U$101,11,FALSE),PowerUnits[],16,FALSE)/VLOOKUP(B12,Operations!$A$2:$U$101,9,FALSE)*C12,2)))</f>
        <v>2.2999999999999998</v>
      </c>
      <c r="J12" s="142">
        <f>IF(B12=0,"",IF(C12&gt;9999,"",ROUND(VLOOKUP($B12,Operations!$A$2:$U$101,21,FALSE)*$C12,2)))</f>
        <v>3.54</v>
      </c>
      <c r="K12" s="142">
        <f>IF(C12&gt;9999,"",ROUND(SUM(E12:J12),2))</f>
        <v>11.24</v>
      </c>
      <c r="L12" s="143"/>
    </row>
    <row r="13" spans="1:15" x14ac:dyDescent="0.2">
      <c r="A13" s="196">
        <v>2</v>
      </c>
      <c r="B13" s="203" t="s">
        <v>51</v>
      </c>
      <c r="C13" s="205">
        <v>1</v>
      </c>
      <c r="D13" s="200"/>
      <c r="E13" s="142">
        <f>IF(B13=0,"",IF(C13&gt;9999,"",ROUND('General Variables'!$B$4*VLOOKUP(B13,Operations!$A$2:$U$101,10,FALSE)/VLOOKUP(B13,Operations!$A$2:$U$101,9,FALSE)*C13,2)))</f>
        <v>1</v>
      </c>
      <c r="F13" s="142">
        <f>IF(B13=0,0,IF(C13&gt;9999,"",ROUND(IF(VLOOKUP(B13,Operations!$A$2:$U$101,12,FALSE)=0,VLOOKUP(B13,Operations!$A$2:$U$101,13,FALSE)*'General Variables'!$B$8,VLOOKUP(B13,Operations!$A$2:$U$101,12,FALSE)*'General Variables'!$B$7)/VLOOKUP(B13,Operations!$A$2:$U$101,9,FALSE)*C13,2)))</f>
        <v>0.27</v>
      </c>
      <c r="G13" s="142">
        <f>IF(B13=0,0,IF(C13&gt;9999,"",ROUND(VLOOKUP(VLOOKUP(B13,Operations!$A$2:$U$101,11,FALSE),PowerUnits[],10,FALSE)/VLOOKUP(B13,Operations!$A$2:$U$101,9,FALSE)*C13,2)))</f>
        <v>0.33</v>
      </c>
      <c r="H13" s="142">
        <f>IF(B13=0,"",IF(C13&gt;9999,"",ROUND(VLOOKUP($B13,Operations!$A$2:$U$101,15,FALSE)*C13,2)))</f>
        <v>0.64</v>
      </c>
      <c r="I13" s="142">
        <f>IF(B13=0,0,IF(C13&gt;9999,"",ROUND(VLOOKUP(VLOOKUP(B13,Operations!$A$2:$U$101,11,FALSE),PowerUnits[],16,FALSE)/VLOOKUP(B13,Operations!$A$2:$U$101,9,FALSE)*C13,2)))</f>
        <v>1.1100000000000001</v>
      </c>
      <c r="J13" s="142">
        <f>IF(B13=0,"",IF(C13&gt;9999,"",ROUND(VLOOKUP($B13,Operations!$A$2:$U$101,21,FALSE)*$C13,2)))</f>
        <v>0.88</v>
      </c>
      <c r="K13" s="142">
        <f t="shared" ref="K13:K31" si="0">IF(C13&gt;9999,"",ROUND(SUM(E13:J13),2))</f>
        <v>4.2300000000000004</v>
      </c>
      <c r="L13" s="143"/>
    </row>
    <row r="14" spans="1:15" x14ac:dyDescent="0.2">
      <c r="A14" s="196">
        <v>3</v>
      </c>
      <c r="B14" s="203" t="s">
        <v>490</v>
      </c>
      <c r="C14" s="205">
        <v>1</v>
      </c>
      <c r="D14" s="200"/>
      <c r="E14" s="142">
        <f>IF(B14=0,"",IF(C14&gt;9999,"",ROUND('General Variables'!$B$4*VLOOKUP(B14,Operations!$A$2:$U$101,10,FALSE)/VLOOKUP(B14,Operations!$A$2:$U$101,9,FALSE)*C14,2)))</f>
        <v>3.14</v>
      </c>
      <c r="F14" s="142">
        <f>IF(B14=0,0,IF(C14&gt;9999,"",ROUND(IF(VLOOKUP(B14,Operations!$A$2:$U$101,12,FALSE)=0,VLOOKUP(B14,Operations!$A$2:$U$101,13,FALSE)*'General Variables'!$B$8,VLOOKUP(B14,Operations!$A$2:$U$101,12,FALSE)*'General Variables'!$B$7)/VLOOKUP(B14,Operations!$A$2:$U$101,9,FALSE)*C14,2)))</f>
        <v>3.87</v>
      </c>
      <c r="G14" s="142">
        <f>IF(B14=0,0,IF(C14&gt;9999,"",ROUND(VLOOKUP(VLOOKUP(B14,Operations!$A$2:$U$101,11,FALSE),PowerUnits[],10,FALSE)/VLOOKUP(B14,Operations!$A$2:$U$101,9,FALSE)*C14,2)))</f>
        <v>7.31</v>
      </c>
      <c r="H14" s="142">
        <f>IF(B14=0,"",IF(C14&gt;9999,"",ROUND(VLOOKUP($B14,Operations!$A$2:$U$101,15,FALSE)*C14,2)))</f>
        <v>0.93</v>
      </c>
      <c r="I14" s="142">
        <f>IF(B14=0,0,IF(C14&gt;9999,"",ROUND(VLOOKUP(VLOOKUP(B14,Operations!$A$2:$U$101,11,FALSE),PowerUnits[],16,FALSE)/VLOOKUP(B14,Operations!$A$2:$U$101,9,FALSE)*C14,2)))</f>
        <v>5.99</v>
      </c>
      <c r="J14" s="142">
        <f>IF(B14=0,"",IF(C14&gt;9999,"",ROUND(VLOOKUP($B14,Operations!$A$2:$U$101,21,FALSE)*$C14,2)))</f>
        <v>2.81</v>
      </c>
      <c r="K14" s="142">
        <f t="shared" si="0"/>
        <v>24.05</v>
      </c>
      <c r="L14" s="143"/>
    </row>
    <row r="15" spans="1:15" x14ac:dyDescent="0.2">
      <c r="A15" s="196">
        <v>4</v>
      </c>
      <c r="B15" s="203" t="s">
        <v>298</v>
      </c>
      <c r="C15" s="205" t="s">
        <v>3</v>
      </c>
      <c r="D15" s="200"/>
      <c r="E15" s="142" t="str">
        <f>IF(B15=0,"",IF(C15&gt;9999,"",ROUND('General Variables'!$B$4*VLOOKUP(B15,Operations!$A$2:$U$101,10,FALSE)/VLOOKUP(B15,Operations!$A$2:$U$101,9,FALSE)*C15,2)))</f>
        <v/>
      </c>
      <c r="F15" s="142" t="str">
        <f>IF(B15=0,0,IF(C15&gt;9999,"",ROUND(IF(VLOOKUP(B15,Operations!$A$2:$U$101,12,FALSE)=0,VLOOKUP(B15,Operations!$A$2:$U$101,13,FALSE)*'General Variables'!$B$8,VLOOKUP(B15,Operations!$A$2:$U$101,12,FALSE)*'General Variables'!$B$7)/VLOOKUP(B15,Operations!$A$2:$U$101,9,FALSE)*C15,2)))</f>
        <v/>
      </c>
      <c r="G15" s="142" t="str">
        <f>IF(B15=0,0,IF(C15&gt;9999,"",ROUND(VLOOKUP(VLOOKUP(B15,Operations!$A$2:$U$101,11,FALSE),PowerUnits[],10,FALSE)/VLOOKUP(B15,Operations!$A$2:$U$101,9,FALSE)*C15,2)))</f>
        <v/>
      </c>
      <c r="H15" s="142" t="str">
        <f>IF(B15=0,"",IF(C15&gt;9999,"",ROUND(VLOOKUP($B15,Operations!$A$2:$U$101,15,FALSE)*C15,2)))</f>
        <v/>
      </c>
      <c r="I15" s="142" t="str">
        <f>IF(B15=0,0,IF(C15&gt;9999,"",ROUND(VLOOKUP(VLOOKUP(B15,Operations!$A$2:$U$101,11,FALSE),PowerUnits[],16,FALSE)/VLOOKUP(B15,Operations!$A$2:$U$101,9,FALSE)*C15,2)))</f>
        <v/>
      </c>
      <c r="J15" s="142" t="str">
        <f>IF(B15=0,"",IF(C15&gt;9999,"",ROUND(VLOOKUP($B15,Operations!$A$2:$U$101,21,FALSE)*$C15,2)))</f>
        <v/>
      </c>
      <c r="K15" s="142" t="str">
        <f t="shared" si="0"/>
        <v/>
      </c>
      <c r="L15" s="143"/>
    </row>
    <row r="16" spans="1:15" hidden="1" x14ac:dyDescent="0.2">
      <c r="A16" s="196">
        <v>5</v>
      </c>
      <c r="B16" s="203"/>
      <c r="C16" s="205"/>
      <c r="D16" s="200"/>
      <c r="E16" s="142" t="str">
        <f>IF(B16=0,"",IF(C16&gt;9999,"",ROUND('General Variables'!$B$4*VLOOKUP(B16,Operations!$A$2:$U$101,10,FALSE)/VLOOKUP(B16,Operations!$A$2:$U$101,9,FALSE)*C16,2)))</f>
        <v/>
      </c>
      <c r="F16" s="142">
        <f>IF(B16=0,0,IF(C16&gt;9999,"",ROUND(IF(VLOOKUP(B16,Operations!$A$2:$U$101,12,FALSE)=0,VLOOKUP(B16,Operations!$A$2:$U$101,13,FALSE)*'General Variables'!$B$8,VLOOKUP(B16,Operations!$A$2:$U$101,12,FALSE)*'General Variables'!$B$7)/VLOOKUP(B16,Operations!$A$2:$U$101,9,FALSE)*C16,2)))</f>
        <v>0</v>
      </c>
      <c r="G16" s="142">
        <f>IF(B16=0,0,IF(C16&gt;9999,"",ROUND(VLOOKUP(VLOOKUP(B16,Operations!$A$2:$U$101,11,FALSE),PowerUnits[],10,FALSE)/VLOOKUP(B16,Operations!$A$2:$U$101,9,FALSE)*C16,2)))</f>
        <v>0</v>
      </c>
      <c r="H16" s="142" t="str">
        <f>IF(B16=0,"",IF(C16&gt;9999,"",ROUND(VLOOKUP($B16,Operations!$A$2:$U$101,15,FALSE)*C16,2)))</f>
        <v/>
      </c>
      <c r="I16" s="142">
        <f>IF(B16=0,0,IF(C16&gt;9999,"",ROUND(VLOOKUP(VLOOKUP(B16,Operations!$A$2:$U$101,11,FALSE),PowerUnits[],16,FALSE)/VLOOKUP(B16,Operations!$A$2:$U$101,9,FALSE)*C16,2)))</f>
        <v>0</v>
      </c>
      <c r="J16" s="142" t="str">
        <f>IF(B16=0,"",IF(C16&gt;9999,"",ROUND(VLOOKUP($B16,Operations!$A$2:$U$101,21,FALSE)*$C16,2)))</f>
        <v/>
      </c>
      <c r="K16" s="142">
        <f t="shared" si="0"/>
        <v>0</v>
      </c>
      <c r="L16" s="143"/>
    </row>
    <row r="17" spans="1:12" hidden="1" x14ac:dyDescent="0.2">
      <c r="A17" s="196">
        <v>6</v>
      </c>
      <c r="B17" s="203"/>
      <c r="C17" s="205"/>
      <c r="D17" s="200"/>
      <c r="E17" s="142" t="str">
        <f>IF(B17=0,"",IF(C17&gt;9999,"",ROUND('General Variables'!$B$4*VLOOKUP(B17,Operations!$A$2:$U$101,10,FALSE)/VLOOKUP(B17,Operations!$A$2:$U$101,9,FALSE)*C17,2)))</f>
        <v/>
      </c>
      <c r="F17" s="142">
        <f>IF(B17=0,0,IF(C17&gt;9999,"",ROUND(IF(VLOOKUP(B17,Operations!$A$2:$U$101,12,FALSE)=0,VLOOKUP(B17,Operations!$A$2:$U$101,13,FALSE)*'General Variables'!$B$8,VLOOKUP(B17,Operations!$A$2:$U$101,12,FALSE)*'General Variables'!$B$7)/VLOOKUP(B17,Operations!$A$2:$U$101,9,FALSE)*C17,2)))</f>
        <v>0</v>
      </c>
      <c r="G17" s="142">
        <f>IF(B17=0,0,IF(C17&gt;9999,"",ROUND(VLOOKUP(VLOOKUP(B17,Operations!$A$2:$U$101,11,FALSE),PowerUnits[],10,FALSE)/VLOOKUP(B17,Operations!$A$2:$U$101,9,FALSE)*C17,2)))</f>
        <v>0</v>
      </c>
      <c r="H17" s="142" t="str">
        <f>IF(B17=0,"",IF(C17&gt;9999,"",ROUND(VLOOKUP($B17,Operations!$A$2:$U$101,15,FALSE)*C17,2)))</f>
        <v/>
      </c>
      <c r="I17" s="142">
        <f>IF(B17=0,0,IF(C17&gt;9999,"",ROUND(VLOOKUP(VLOOKUP(B17,Operations!$A$2:$U$101,11,FALSE),PowerUnits[],16,FALSE)/VLOOKUP(B17,Operations!$A$2:$U$101,9,FALSE)*C17,2)))</f>
        <v>0</v>
      </c>
      <c r="J17" s="142" t="str">
        <f>IF(B17=0,"",IF(C17&gt;9999,"",ROUND(VLOOKUP($B17,Operations!$A$2:$U$101,21,FALSE)*$C17,2)))</f>
        <v/>
      </c>
      <c r="K17" s="142">
        <f t="shared" si="0"/>
        <v>0</v>
      </c>
      <c r="L17" s="143"/>
    </row>
    <row r="18" spans="1:12" hidden="1" x14ac:dyDescent="0.2">
      <c r="A18" s="196">
        <v>7</v>
      </c>
      <c r="B18" s="203"/>
      <c r="C18" s="205"/>
      <c r="D18" s="200"/>
      <c r="E18" s="142" t="str">
        <f>IF(B18=0,"",IF(C18&gt;9999,"",ROUND('General Variables'!$B$4*VLOOKUP(B18,Operations!$A$2:$U$101,10,FALSE)/VLOOKUP(B18,Operations!$A$2:$U$101,9,FALSE)*C18,2)))</f>
        <v/>
      </c>
      <c r="F18" s="142">
        <f>IF(B18=0,0,IF(C18&gt;9999,"",ROUND(IF(VLOOKUP(B18,Operations!$A$2:$U$101,12,FALSE)=0,VLOOKUP(B18,Operations!$A$2:$U$101,13,FALSE)*'General Variables'!$B$8,VLOOKUP(B18,Operations!$A$2:$U$101,12,FALSE)*'General Variables'!$B$7)/VLOOKUP(B18,Operations!$A$2:$U$101,9,FALSE)*C18,2)))</f>
        <v>0</v>
      </c>
      <c r="G18" s="142">
        <f>IF(B18=0,0,IF(C18&gt;9999,"",ROUND(VLOOKUP(VLOOKUP(B18,Operations!$A$2:$U$101,11,FALSE),PowerUnits[],10,FALSE)/VLOOKUP(B18,Operations!$A$2:$U$101,9,FALSE)*C18,2)))</f>
        <v>0</v>
      </c>
      <c r="H18" s="142" t="str">
        <f>IF(B18=0,"",IF(C18&gt;9999,"",ROUND(VLOOKUP($B18,Operations!$A$2:$U$101,15,FALSE)*C18,2)))</f>
        <v/>
      </c>
      <c r="I18" s="142">
        <f>IF(B18=0,0,IF(C18&gt;9999,"",ROUND(VLOOKUP(VLOOKUP(B18,Operations!$A$2:$U$101,11,FALSE),PowerUnits[],16,FALSE)/VLOOKUP(B18,Operations!$A$2:$U$101,9,FALSE)*C18,2)))</f>
        <v>0</v>
      </c>
      <c r="J18" s="142" t="str">
        <f>IF(B18=0,"",IF(C18&gt;9999,"",ROUND(VLOOKUP($B18,Operations!$A$2:$U$101,21,FALSE)*$C18,2)))</f>
        <v/>
      </c>
      <c r="K18" s="142">
        <f t="shared" si="0"/>
        <v>0</v>
      </c>
      <c r="L18" s="143"/>
    </row>
    <row r="19" spans="1:12" hidden="1" x14ac:dyDescent="0.2">
      <c r="A19" s="196">
        <v>8</v>
      </c>
      <c r="B19" s="203"/>
      <c r="C19" s="205"/>
      <c r="D19" s="200"/>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IF(C19&gt;9999,"",ROUND(SUM(E19:J19),2))</f>
        <v>0</v>
      </c>
      <c r="L19" s="143"/>
    </row>
    <row r="20" spans="1:12" hidden="1" x14ac:dyDescent="0.2">
      <c r="A20" s="196">
        <v>9</v>
      </c>
      <c r="B20" s="203"/>
      <c r="C20" s="205"/>
      <c r="D20" s="200"/>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6">
        <v>10</v>
      </c>
      <c r="B21" s="203"/>
      <c r="C21" s="205"/>
      <c r="D21" s="200"/>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6">
        <v>11</v>
      </c>
      <c r="B22" s="203"/>
      <c r="C22" s="205"/>
      <c r="D22" s="200"/>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6">
        <v>12</v>
      </c>
      <c r="B23" s="203"/>
      <c r="C23" s="205"/>
      <c r="D23" s="200"/>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6">
        <v>13</v>
      </c>
      <c r="B24" s="203"/>
      <c r="C24" s="205"/>
      <c r="D24" s="200"/>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6">
        <v>14</v>
      </c>
      <c r="B25" s="204"/>
      <c r="C25" s="206"/>
      <c r="D25" s="200"/>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6">
        <v>15</v>
      </c>
      <c r="B26" s="204"/>
      <c r="C26" s="206"/>
      <c r="D26" s="200"/>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6">
        <v>16</v>
      </c>
      <c r="B27" s="204"/>
      <c r="C27" s="206"/>
      <c r="D27" s="200"/>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6">
        <v>17</v>
      </c>
      <c r="B28" s="204"/>
      <c r="C28" s="206"/>
      <c r="D28" s="200"/>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6">
        <v>18</v>
      </c>
      <c r="B29" s="204"/>
      <c r="C29" s="206"/>
      <c r="D29" s="200"/>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6">
        <v>19</v>
      </c>
      <c r="B30" s="204"/>
      <c r="C30" s="206"/>
      <c r="D30" s="200"/>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6">
        <v>20</v>
      </c>
      <c r="B31" s="204"/>
      <c r="C31" s="206"/>
      <c r="D31" s="200"/>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6"/>
      <c r="B32" s="146"/>
      <c r="C32" s="147"/>
      <c r="D32" s="147"/>
      <c r="E32" s="148"/>
      <c r="F32" s="148"/>
      <c r="G32" s="148"/>
      <c r="H32" s="148"/>
      <c r="I32" s="148"/>
      <c r="J32" s="148"/>
      <c r="K32" s="148"/>
      <c r="L32" s="149"/>
    </row>
    <row r="33" spans="1:12" ht="13.5" thickTop="1" x14ac:dyDescent="0.2">
      <c r="C33" s="139" t="s">
        <v>74</v>
      </c>
      <c r="D33" s="139"/>
      <c r="E33" s="150">
        <f>SUM(E12:E31)</f>
        <v>5.9700000000000006</v>
      </c>
      <c r="F33" s="150">
        <f t="shared" ref="F33:K33" si="1">SUM(F12:F31)</f>
        <v>5.45</v>
      </c>
      <c r="G33" s="150">
        <f t="shared" si="1"/>
        <v>8.33</v>
      </c>
      <c r="H33" s="150">
        <f t="shared" si="1"/>
        <v>3.14</v>
      </c>
      <c r="I33" s="150">
        <f t="shared" si="1"/>
        <v>9.4</v>
      </c>
      <c r="J33" s="150">
        <f t="shared" si="1"/>
        <v>7.23</v>
      </c>
      <c r="K33" s="150">
        <f t="shared" si="1"/>
        <v>39.520000000000003</v>
      </c>
      <c r="L33" s="143"/>
    </row>
    <row r="35" spans="1:12" ht="24" customHeight="1" thickBot="1" x14ac:dyDescent="0.25">
      <c r="B35" s="136"/>
      <c r="C35" s="136"/>
      <c r="D35" s="136"/>
      <c r="E35" s="136"/>
      <c r="F35" s="226" t="s">
        <v>85</v>
      </c>
      <c r="G35" s="226" t="s">
        <v>82</v>
      </c>
      <c r="H35" s="227" t="s">
        <v>86</v>
      </c>
      <c r="I35" s="227"/>
      <c r="J35" s="226" t="s">
        <v>62</v>
      </c>
      <c r="L35" s="227" t="s">
        <v>361</v>
      </c>
    </row>
    <row r="36" spans="1:12" s="151" customFormat="1" ht="18.75" customHeight="1" thickTop="1" thickBot="1" x14ac:dyDescent="0.25">
      <c r="B36" s="152" t="s">
        <v>81</v>
      </c>
      <c r="C36" s="197"/>
      <c r="D36" s="197"/>
      <c r="E36" s="197"/>
      <c r="F36" s="226"/>
      <c r="G36" s="226"/>
      <c r="H36" s="190" t="s">
        <v>87</v>
      </c>
      <c r="I36" s="191" t="s">
        <v>70</v>
      </c>
      <c r="J36" s="226"/>
      <c r="K36" s="197" t="s">
        <v>83</v>
      </c>
      <c r="L36" s="226"/>
    </row>
    <row r="37" spans="1:12" ht="13.5" thickTop="1" x14ac:dyDescent="0.2">
      <c r="A37" s="175"/>
      <c r="B37" s="203" t="s">
        <v>494</v>
      </c>
      <c r="C37" s="220" t="str">
        <f>IF(B37=0,"",VLOOKUP($B37,Materials!$B$2:$H$127,2,FALSE))</f>
        <v>Seed</v>
      </c>
      <c r="D37" s="220"/>
      <c r="E37" s="220"/>
      <c r="F37" s="205">
        <v>1</v>
      </c>
      <c r="G37" s="207">
        <v>1</v>
      </c>
      <c r="H37" s="208">
        <v>3</v>
      </c>
      <c r="I37" s="153" t="str">
        <f>IF($B37=0,"",VLOOKUP($B37,Materials!$B$2:$H$127,5,FALSE))</f>
        <v>bushel</v>
      </c>
      <c r="J37" s="142">
        <f>IF($B37=0,"",VLOOKUP($B37,Materials!$B$2:$H$127,7,FALSE))</f>
        <v>18</v>
      </c>
      <c r="K37" s="150">
        <f>IF(B37=0,0,ROUND(G37*H37*J37,2))</f>
        <v>54</v>
      </c>
      <c r="L37" s="143"/>
    </row>
    <row r="38" spans="1:12" x14ac:dyDescent="0.2">
      <c r="A38" s="175"/>
      <c r="B38" s="203" t="s">
        <v>495</v>
      </c>
      <c r="C38" s="220" t="str">
        <f>IF(B38=0,"",VLOOKUP($B38,Materials!$B$2:$H$127,2,FALSE))</f>
        <v>Fungicide</v>
      </c>
      <c r="D38" s="220"/>
      <c r="E38" s="220"/>
      <c r="F38" s="205">
        <v>1</v>
      </c>
      <c r="G38" s="207">
        <v>1</v>
      </c>
      <c r="H38" s="208">
        <v>1</v>
      </c>
      <c r="I38" s="153" t="str">
        <f>IF($B38=0,"",VLOOKUP($B38,Materials!$B$2:$H$127,5,FALSE))</f>
        <v>pound</v>
      </c>
      <c r="J38" s="142">
        <f>IF($B38=0,"",VLOOKUP($B38,Materials!$B$2:$H$127,7,FALSE))</f>
        <v>8</v>
      </c>
      <c r="K38" s="150">
        <f t="shared" ref="K38:K55" si="2">IF(B38=0,0,ROUND(G38*H38*J38,2))</f>
        <v>8</v>
      </c>
      <c r="L38" s="143"/>
    </row>
    <row r="39" spans="1:12" x14ac:dyDescent="0.2">
      <c r="A39" s="175"/>
      <c r="B39" s="203" t="s">
        <v>496</v>
      </c>
      <c r="C39" s="220" t="str">
        <f>IF(B39=0,"",VLOOKUP($B39,Materials!$B$2:$H$127,2,FALSE))</f>
        <v>Herbicide</v>
      </c>
      <c r="D39" s="220"/>
      <c r="E39" s="220"/>
      <c r="F39" s="205">
        <v>2</v>
      </c>
      <c r="G39" s="207">
        <v>1</v>
      </c>
      <c r="H39" s="208">
        <v>2</v>
      </c>
      <c r="I39" s="153" t="str">
        <f>IF($B39=0,"",VLOOKUP($B39,Materials!$B$2:$H$127,5,FALSE))</f>
        <v>ounce</v>
      </c>
      <c r="J39" s="142">
        <f>IF($B39=0,"",VLOOKUP($B39,Materials!$B$2:$H$127,7,FALSE))</f>
        <v>6.796875</v>
      </c>
      <c r="K39" s="150">
        <f t="shared" si="2"/>
        <v>13.59</v>
      </c>
      <c r="L39" s="143"/>
    </row>
    <row r="40" spans="1:12" x14ac:dyDescent="0.2">
      <c r="A40" s="175"/>
      <c r="B40" s="203" t="s">
        <v>29</v>
      </c>
      <c r="C40" s="220" t="str">
        <f>IF(B40=0,"",VLOOKUP($B40,Materials!$B$2:$H$127,2,FALSE))</f>
        <v>Herbicide</v>
      </c>
      <c r="D40" s="220"/>
      <c r="E40" s="220"/>
      <c r="F40" s="205">
        <v>2</v>
      </c>
      <c r="G40" s="207">
        <v>1</v>
      </c>
      <c r="H40" s="208">
        <v>32</v>
      </c>
      <c r="I40" s="153" t="str">
        <f>IF($B40=0,"",VLOOKUP($B40,Materials!$B$2:$H$127,5,FALSE))</f>
        <v>ounce</v>
      </c>
      <c r="J40" s="142">
        <f>IF($B40=0,"",VLOOKUP($B40,Materials!$B$2:$H$127,7,FALSE))</f>
        <v>0.125</v>
      </c>
      <c r="K40" s="150">
        <f t="shared" si="2"/>
        <v>4</v>
      </c>
      <c r="L40" s="143"/>
    </row>
    <row r="41" spans="1:12" x14ac:dyDescent="0.2">
      <c r="A41" s="175"/>
      <c r="B41" s="203" t="s">
        <v>439</v>
      </c>
      <c r="C41" s="220" t="str">
        <f>IF(B41=0,"",VLOOKUP($B41,Materials!$B$2:$H$127,2,FALSE))</f>
        <v>Additive</v>
      </c>
      <c r="D41" s="220"/>
      <c r="E41" s="220"/>
      <c r="F41" s="205">
        <v>2</v>
      </c>
      <c r="G41" s="207">
        <v>1</v>
      </c>
      <c r="H41" s="209">
        <v>1.7</v>
      </c>
      <c r="I41" s="153" t="str">
        <f>IF($B41=0,"",VLOOKUP($B41,Materials!$B$2:$H$127,5,FALSE))</f>
        <v>pound</v>
      </c>
      <c r="J41" s="142">
        <f>IF($B41=0,"",VLOOKUP($B41,Materials!$B$2:$H$127,7,FALSE))</f>
        <v>0.35</v>
      </c>
      <c r="K41" s="150">
        <f t="shared" si="2"/>
        <v>0.6</v>
      </c>
      <c r="L41" s="143"/>
    </row>
    <row r="42" spans="1:12" x14ac:dyDescent="0.2">
      <c r="A42" s="175"/>
      <c r="B42" s="203" t="s">
        <v>578</v>
      </c>
      <c r="C42" s="220" t="str">
        <f>IF(B42=0,"",VLOOKUP($B42,Materials!$B$2:$H$127,2,FALSE))</f>
        <v>Custom</v>
      </c>
      <c r="D42" s="220"/>
      <c r="E42" s="220"/>
      <c r="F42" s="205">
        <v>4</v>
      </c>
      <c r="G42" s="207">
        <v>1</v>
      </c>
      <c r="H42" s="209">
        <f>A4</f>
        <v>35</v>
      </c>
      <c r="I42" s="153" t="str">
        <f>IF($B42=0,"",VLOOKUP($B42,Materials!$B$2:$H$127,5,FALSE))</f>
        <v>bushel</v>
      </c>
      <c r="J42" s="142">
        <f>IF($B42=0,"",VLOOKUP($B42,Materials!$B$2:$H$127,7,FALSE))</f>
        <v>0.11</v>
      </c>
      <c r="K42" s="150">
        <f t="shared" si="2"/>
        <v>3.85</v>
      </c>
      <c r="L42" s="143"/>
    </row>
    <row r="43" spans="1:12" hidden="1" x14ac:dyDescent="0.2">
      <c r="A43" s="180"/>
      <c r="B43" s="203"/>
      <c r="C43" s="220" t="str">
        <f>IF(B43=0,"",VLOOKUP($B43,Materials!$B$2:$H$127,2,FALSE))</f>
        <v/>
      </c>
      <c r="D43" s="220"/>
      <c r="E43" s="220"/>
      <c r="F43" s="205"/>
      <c r="G43" s="207"/>
      <c r="H43" s="208"/>
      <c r="I43" s="153" t="str">
        <f>IF($B43=0,"",VLOOKUP($B43,Materials!$B$2:$H$127,5,FALSE))</f>
        <v/>
      </c>
      <c r="J43" s="142" t="str">
        <f>IF($B43=0,"",VLOOKUP($B43,Materials!$B$2:$H$127,7,FALSE))</f>
        <v/>
      </c>
      <c r="K43" s="150">
        <f t="shared" si="2"/>
        <v>0</v>
      </c>
      <c r="L43" s="143"/>
    </row>
    <row r="44" spans="1:12" hidden="1" x14ac:dyDescent="0.2">
      <c r="A44" s="180"/>
      <c r="B44" s="203"/>
      <c r="C44" s="220" t="str">
        <f>IF(B44=0,"",VLOOKUP($B44,Materials!$B$2:$H$127,2,FALSE))</f>
        <v/>
      </c>
      <c r="D44" s="220"/>
      <c r="E44" s="220"/>
      <c r="F44" s="205"/>
      <c r="G44" s="207"/>
      <c r="H44" s="208"/>
      <c r="I44" s="153" t="str">
        <f>IF($B44=0,"",VLOOKUP($B44,Materials!$B$2:$H$127,5,FALSE))</f>
        <v/>
      </c>
      <c r="J44" s="142" t="str">
        <f>IF($B44=0,"",VLOOKUP($B44,Materials!$B$2:$H$127,7,FALSE))</f>
        <v/>
      </c>
      <c r="K44" s="150">
        <f t="shared" si="2"/>
        <v>0</v>
      </c>
      <c r="L44" s="143"/>
    </row>
    <row r="45" spans="1:12" hidden="1" x14ac:dyDescent="0.2">
      <c r="A45" s="180"/>
      <c r="B45" s="203"/>
      <c r="C45" s="220" t="str">
        <f>IF(B45=0,"",VLOOKUP($B45,Materials!$B$2:$H$127,2,FALSE))</f>
        <v/>
      </c>
      <c r="D45" s="220"/>
      <c r="E45" s="220"/>
      <c r="F45" s="205"/>
      <c r="G45" s="207"/>
      <c r="H45" s="208"/>
      <c r="I45" s="153" t="str">
        <f>IF($B45=0,"",VLOOKUP($B45,Materials!$B$2:$H$127,5,FALSE))</f>
        <v/>
      </c>
      <c r="J45" s="142" t="str">
        <f>IF($B45=0,"",VLOOKUP($B45,Materials!$B$2:$H$127,7,FALSE))</f>
        <v/>
      </c>
      <c r="K45" s="150">
        <f t="shared" si="2"/>
        <v>0</v>
      </c>
      <c r="L45" s="143"/>
    </row>
    <row r="46" spans="1:12" hidden="1" x14ac:dyDescent="0.2">
      <c r="A46" s="180"/>
      <c r="B46" s="203"/>
      <c r="C46" s="220" t="str">
        <f>IF(B46=0,"",VLOOKUP($B46,Materials!$B$2:$H$127,2,FALSE))</f>
        <v/>
      </c>
      <c r="D46" s="220"/>
      <c r="E46" s="220"/>
      <c r="F46" s="205"/>
      <c r="G46" s="207"/>
      <c r="H46" s="208"/>
      <c r="I46" s="153" t="str">
        <f>IF($B46=0,"",VLOOKUP($B46,Materials!$B$2:$H$127,5,FALSE))</f>
        <v/>
      </c>
      <c r="J46" s="142" t="str">
        <f>IF($B46=0,"",VLOOKUP($B46,Materials!$B$2:$H$127,7,FALSE))</f>
        <v/>
      </c>
      <c r="K46" s="150">
        <f t="shared" si="2"/>
        <v>0</v>
      </c>
      <c r="L46" s="143"/>
    </row>
    <row r="47" spans="1:12" hidden="1" x14ac:dyDescent="0.2">
      <c r="A47" s="180"/>
      <c r="B47" s="203"/>
      <c r="C47" s="220" t="str">
        <f>IF(B47=0,"",VLOOKUP($B47,Materials!$B$2:$H$127,2,FALSE))</f>
        <v/>
      </c>
      <c r="D47" s="220"/>
      <c r="E47" s="220"/>
      <c r="F47" s="205"/>
      <c r="G47" s="207"/>
      <c r="H47" s="208"/>
      <c r="I47" s="153" t="str">
        <f>IF($B47=0,"",VLOOKUP($B47,Materials!$B$2:$H$127,5,FALSE))</f>
        <v/>
      </c>
      <c r="J47" s="142" t="str">
        <f>IF($B47=0,"",VLOOKUP($B47,Materials!$B$2:$H$127,7,FALSE))</f>
        <v/>
      </c>
      <c r="K47" s="150">
        <f t="shared" si="2"/>
        <v>0</v>
      </c>
      <c r="L47" s="143"/>
    </row>
    <row r="48" spans="1:12" hidden="1" x14ac:dyDescent="0.2">
      <c r="A48" s="175"/>
      <c r="B48" s="203"/>
      <c r="C48" s="220" t="str">
        <f>IF(B48=0,"",VLOOKUP($B48,Materials!$B$2:$H$127,2,FALSE))</f>
        <v/>
      </c>
      <c r="D48" s="220"/>
      <c r="E48" s="220"/>
      <c r="F48" s="205"/>
      <c r="G48" s="207"/>
      <c r="H48" s="208"/>
      <c r="I48" s="153" t="str">
        <f>IF($B48=0,"",VLOOKUP($B48,Materials!$B$2:$H$127,5,FALSE))</f>
        <v/>
      </c>
      <c r="J48" s="142" t="str">
        <f>IF($B48=0,"",VLOOKUP($B48,Materials!$B$2:$H$127,7,FALSE))</f>
        <v/>
      </c>
      <c r="K48" s="150">
        <f t="shared" si="2"/>
        <v>0</v>
      </c>
      <c r="L48" s="143"/>
    </row>
    <row r="49" spans="1:12" hidden="1" x14ac:dyDescent="0.2">
      <c r="A49" s="175"/>
      <c r="B49" s="203"/>
      <c r="C49" s="220" t="str">
        <f>IF(B49=0,"",VLOOKUP($B49,Materials!$B$2:$H$127,2,FALSE))</f>
        <v/>
      </c>
      <c r="D49" s="220"/>
      <c r="E49" s="220"/>
      <c r="F49" s="205"/>
      <c r="G49" s="207"/>
      <c r="H49" s="208"/>
      <c r="I49" s="153" t="str">
        <f>IF($B49=0,"",VLOOKUP($B49,Materials!$B$2:$H$127,5,FALSE))</f>
        <v/>
      </c>
      <c r="J49" s="142" t="str">
        <f>IF($B49=0,"",VLOOKUP($B49,Materials!$B$2:$H$127,7,FALSE))</f>
        <v/>
      </c>
      <c r="K49" s="150">
        <f t="shared" si="2"/>
        <v>0</v>
      </c>
      <c r="L49" s="143"/>
    </row>
    <row r="50" spans="1:12" hidden="1" x14ac:dyDescent="0.2">
      <c r="B50" s="204"/>
      <c r="C50" s="220" t="str">
        <f>IF(B50=0,"",VLOOKUP($B50,Materials!$B$2:$H$127,2,FALSE))</f>
        <v/>
      </c>
      <c r="D50" s="220"/>
      <c r="E50" s="220"/>
      <c r="F50" s="206"/>
      <c r="G50" s="207"/>
      <c r="H50" s="210"/>
      <c r="I50" s="153" t="str">
        <f>IF($B50=0,"",VLOOKUP($B50,Materials!$B$2:$H$127,5,FALSE))</f>
        <v/>
      </c>
      <c r="J50" s="142" t="str">
        <f>IF($B50=0,"",VLOOKUP($B50,Materials!$B$2:$H$127,7,FALSE))</f>
        <v/>
      </c>
      <c r="K50" s="150">
        <f t="shared" si="2"/>
        <v>0</v>
      </c>
      <c r="L50" s="143"/>
    </row>
    <row r="51" spans="1:12" hidden="1" x14ac:dyDescent="0.2">
      <c r="B51" s="204"/>
      <c r="C51" s="220" t="str">
        <f>IF(B51=0,"",VLOOKUP($B51,Materials!$B$2:$H$127,2,FALSE))</f>
        <v/>
      </c>
      <c r="D51" s="220"/>
      <c r="E51" s="220"/>
      <c r="F51" s="206"/>
      <c r="G51" s="207"/>
      <c r="H51" s="210"/>
      <c r="I51" s="153" t="str">
        <f>IF($B51=0,"",VLOOKUP($B51,Materials!$B$2:$H$127,5,FALSE))</f>
        <v/>
      </c>
      <c r="J51" s="142" t="str">
        <f>IF($B51=0,"",VLOOKUP($B51,Materials!$B$2:$H$127,7,FALSE))</f>
        <v/>
      </c>
      <c r="K51" s="150">
        <f t="shared" si="2"/>
        <v>0</v>
      </c>
      <c r="L51" s="143"/>
    </row>
    <row r="52" spans="1:12" hidden="1" x14ac:dyDescent="0.2">
      <c r="B52" s="204"/>
      <c r="C52" s="220" t="str">
        <f>IF(B52=0,"",VLOOKUP($B52,Materials!$B$2:$H$127,2,FALSE))</f>
        <v/>
      </c>
      <c r="D52" s="220"/>
      <c r="E52" s="220"/>
      <c r="F52" s="206"/>
      <c r="G52" s="211"/>
      <c r="H52" s="210"/>
      <c r="I52" s="153" t="str">
        <f>IF($B52=0,"",VLOOKUP($B52,Materials!$B$2:$H$127,5,FALSE))</f>
        <v/>
      </c>
      <c r="J52" s="142" t="str">
        <f>IF($B52=0,"",VLOOKUP($B52,Materials!$B$2:$H$127,7,FALSE))</f>
        <v/>
      </c>
      <c r="K52" s="150">
        <f t="shared" si="2"/>
        <v>0</v>
      </c>
      <c r="L52" s="143"/>
    </row>
    <row r="53" spans="1:12" hidden="1" x14ac:dyDescent="0.2">
      <c r="B53" s="204"/>
      <c r="C53" s="220" t="str">
        <f>IF(B53=0,"",VLOOKUP($B53,Materials!$B$2:$H$127,2,FALSE))</f>
        <v/>
      </c>
      <c r="D53" s="220"/>
      <c r="E53" s="220"/>
      <c r="F53" s="206"/>
      <c r="G53" s="211"/>
      <c r="H53" s="210"/>
      <c r="I53" s="153" t="str">
        <f>IF($B53=0,"",VLOOKUP($B53,Materials!$B$2:$H$127,5,FALSE))</f>
        <v/>
      </c>
      <c r="J53" s="142" t="str">
        <f>IF($B53=0,"",VLOOKUP($B53,Materials!$B$2:$H$127,7,FALSE))</f>
        <v/>
      </c>
      <c r="K53" s="150">
        <f t="shared" si="2"/>
        <v>0</v>
      </c>
      <c r="L53" s="143"/>
    </row>
    <row r="54" spans="1:12" hidden="1" x14ac:dyDescent="0.2">
      <c r="B54" s="204"/>
      <c r="C54" s="220" t="str">
        <f>IF(B54=0,"",VLOOKUP($B54,Materials!$B$2:$H$127,2,FALSE))</f>
        <v/>
      </c>
      <c r="D54" s="220"/>
      <c r="E54" s="220"/>
      <c r="F54" s="206"/>
      <c r="G54" s="211"/>
      <c r="H54" s="210"/>
      <c r="I54" s="153" t="str">
        <f>IF($B54=0,"",VLOOKUP($B54,Materials!$B$2:$H$127,5,FALSE))</f>
        <v/>
      </c>
      <c r="J54" s="142" t="str">
        <f>IF($B54=0,"",VLOOKUP($B54,Materials!$B$2:$H$127,7,FALSE))</f>
        <v/>
      </c>
      <c r="K54" s="150">
        <f t="shared" si="2"/>
        <v>0</v>
      </c>
      <c r="L54" s="143"/>
    </row>
    <row r="55" spans="1:12" hidden="1" x14ac:dyDescent="0.2">
      <c r="B55" s="204"/>
      <c r="C55" s="220" t="str">
        <f>IF(B55=0,"",VLOOKUP($B55,Materials!$B$2:$H$127,2,FALSE))</f>
        <v/>
      </c>
      <c r="D55" s="220"/>
      <c r="E55" s="220"/>
      <c r="F55" s="206"/>
      <c r="G55" s="211"/>
      <c r="H55" s="210"/>
      <c r="I55" s="153" t="str">
        <f>IF($B55=0,"",VLOOKUP($B55,Materials!$B$2:$H$127,5,FALSE))</f>
        <v/>
      </c>
      <c r="J55" s="142" t="str">
        <f>IF($B55=0,"",VLOOKUP($B55,Materials!$B$2:$H$127,7,FALSE))</f>
        <v/>
      </c>
      <c r="K55" s="150">
        <f t="shared" si="2"/>
        <v>0</v>
      </c>
      <c r="L55" s="145"/>
    </row>
    <row r="56" spans="1:12" hidden="1" x14ac:dyDescent="0.2">
      <c r="B56" s="204"/>
      <c r="C56" s="220" t="str">
        <f>IF(B56=0,"",VLOOKUP($B56,Materials!$B$2:$H$127,2,FALSE))</f>
        <v/>
      </c>
      <c r="D56" s="220"/>
      <c r="E56" s="220"/>
      <c r="F56" s="206"/>
      <c r="G56" s="211"/>
      <c r="H56" s="210"/>
      <c r="I56" s="153" t="str">
        <f>IF($B56=0,"",VLOOKUP($B56,Materials!$B$2:$H$127,5,FALSE))</f>
        <v/>
      </c>
      <c r="J56" s="142" t="str">
        <f>IF($B56=0,"",VLOOKUP($B56,Materials!$B$2:$H$127,7,FALSE))</f>
        <v/>
      </c>
      <c r="K56" s="150">
        <f>IF(B56=0,0,ROUND(G56*H56*J56,2))</f>
        <v>0</v>
      </c>
      <c r="L56" s="145"/>
    </row>
    <row r="57" spans="1:12" hidden="1" x14ac:dyDescent="0.2">
      <c r="B57" s="204"/>
      <c r="C57" s="220" t="str">
        <f>IF(B57=0,"",VLOOKUP($B57,Materials!$B$2:$H$127,2,FALSE))</f>
        <v/>
      </c>
      <c r="D57" s="220"/>
      <c r="E57" s="220"/>
      <c r="F57" s="206"/>
      <c r="G57" s="211"/>
      <c r="H57" s="210"/>
      <c r="I57" s="153" t="str">
        <f>IF($B57=0,"",VLOOKUP($B57,Materials!$B$2:$H$127,5,FALSE))</f>
        <v/>
      </c>
      <c r="J57" s="142" t="str">
        <f>IF($B57=0,"",VLOOKUP($B57,Materials!$B$2:$H$127,7,FALSE))</f>
        <v/>
      </c>
      <c r="K57" s="150">
        <f>IF(B57=0,0,ROUND(G57*H57*J57,2))</f>
        <v>0</v>
      </c>
      <c r="L57" s="145"/>
    </row>
    <row r="58" spans="1:12" hidden="1" x14ac:dyDescent="0.2">
      <c r="B58" s="204"/>
      <c r="C58" s="220" t="str">
        <f>IF(B58=0,"",VLOOKUP($B58,Materials!$B$2:$H$127,2,FALSE))</f>
        <v/>
      </c>
      <c r="D58" s="220"/>
      <c r="E58" s="220"/>
      <c r="F58" s="206"/>
      <c r="G58" s="211"/>
      <c r="H58" s="210"/>
      <c r="I58" s="153" t="str">
        <f>IF($B58=0,"",VLOOKUP($B58,Materials!$B$2:$H$127,5,FALSE))</f>
        <v/>
      </c>
      <c r="J58" s="142" t="str">
        <f>IF($B58=0,"",VLOOKUP($B58,Materials!$B$2:$H$127,7,FALSE))</f>
        <v/>
      </c>
      <c r="K58" s="150">
        <f>IF(B58=0,0,ROUND(G58*H58*J58,2))</f>
        <v>0</v>
      </c>
      <c r="L58" s="145"/>
    </row>
    <row r="59" spans="1:12" hidden="1" x14ac:dyDescent="0.2">
      <c r="B59" s="204"/>
      <c r="C59" s="220" t="str">
        <f>IF(B59=0,"",VLOOKUP($B59,Materials!$B$2:$H$127,2,FALSE))</f>
        <v/>
      </c>
      <c r="D59" s="220"/>
      <c r="E59" s="220"/>
      <c r="F59" s="206"/>
      <c r="G59" s="211"/>
      <c r="H59" s="210"/>
      <c r="I59" s="153" t="str">
        <f>IF($B59=0,"",VLOOKUP($B59,Materials!$B$2:$H$127,5,FALSE))</f>
        <v/>
      </c>
      <c r="J59" s="142" t="str">
        <f>IF($B59=0,"",VLOOKUP($B59,Materials!$B$2:$H$127,7,FALSE))</f>
        <v/>
      </c>
      <c r="K59" s="150">
        <f>IF(B59=0,0,ROUND(G59*H59*J59,2))</f>
        <v>0</v>
      </c>
      <c r="L59" s="145"/>
    </row>
    <row r="60" spans="1:12" hidden="1" x14ac:dyDescent="0.2">
      <c r="B60" s="204"/>
      <c r="C60" s="220" t="str">
        <f>IF(B60=0,"",VLOOKUP($B60,Materials!$B$2:$H$127,2,FALSE))</f>
        <v/>
      </c>
      <c r="D60" s="220"/>
      <c r="E60" s="220"/>
      <c r="F60" s="206"/>
      <c r="G60" s="211"/>
      <c r="H60" s="210"/>
      <c r="I60" s="153" t="str">
        <f>IF($B60=0,"",VLOOKUP($B60,Materials!$B$2:$H$127,5,FALSE))</f>
        <v/>
      </c>
      <c r="J60" s="142" t="str">
        <f>IF($B60=0,"",VLOOKUP($B60,Materials!$B$2:$H$127,7,FALSE))</f>
        <v/>
      </c>
      <c r="K60" s="150">
        <f>IF(B60=0,0,ROUND(G60*H60*J60,2))</f>
        <v>0</v>
      </c>
      <c r="L60" s="145"/>
    </row>
    <row r="61" spans="1:12" hidden="1" x14ac:dyDescent="0.2">
      <c r="B61" s="204"/>
      <c r="C61" s="220">
        <f>IF(B61=0,0,"Crop Insurance")</f>
        <v>0</v>
      </c>
      <c r="D61" s="220"/>
      <c r="E61" s="220"/>
      <c r="F61" s="144"/>
      <c r="G61" s="201"/>
      <c r="H61" s="202"/>
      <c r="I61" s="195"/>
      <c r="J61" s="142"/>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77">
        <f>SUM(K37:K61)</f>
        <v>84.039999999999992</v>
      </c>
      <c r="L63" s="143"/>
    </row>
    <row r="64" spans="1:12" x14ac:dyDescent="0.2">
      <c r="B64" s="181"/>
      <c r="K64" s="162"/>
    </row>
    <row r="65" spans="2:12" x14ac:dyDescent="0.2">
      <c r="B65" s="140" t="s">
        <v>552</v>
      </c>
      <c r="K65" s="177">
        <f>K33+K63</f>
        <v>123.56</v>
      </c>
      <c r="L65" s="143"/>
    </row>
    <row r="66" spans="2:12" ht="13.5" thickBot="1" x14ac:dyDescent="0.25">
      <c r="D66" s="162" t="s">
        <v>570</v>
      </c>
      <c r="E66" s="163">
        <f>ROUND(SUM($E$33:$H$33)+$K$63,2)</f>
        <v>106.93</v>
      </c>
      <c r="F66" s="222" t="s">
        <v>362</v>
      </c>
      <c r="G66" s="222"/>
      <c r="H66" s="164">
        <f>'General Variables'!$B$11</f>
        <v>5.5E-2</v>
      </c>
      <c r="I66" s="165" t="str">
        <f>CONCATENATE("for ",TEXT('General Variables'!$B$12,"0.0")," mo.")</f>
        <v>for 6.0 mo.</v>
      </c>
      <c r="K66" s="182">
        <f>E66*H66*'General Variables'!$B$12/12</f>
        <v>2.9405750000000004</v>
      </c>
      <c r="L66" s="167"/>
    </row>
    <row r="67" spans="2:12" ht="13.5" thickTop="1" x14ac:dyDescent="0.2">
      <c r="B67" s="140" t="s">
        <v>366</v>
      </c>
      <c r="K67" s="177">
        <f>SUM(K65:K66)</f>
        <v>126.500575</v>
      </c>
      <c r="L67" s="143"/>
    </row>
    <row r="68" spans="2:12" x14ac:dyDescent="0.2">
      <c r="K68" s="162"/>
    </row>
    <row r="69" spans="2:12" x14ac:dyDescent="0.2">
      <c r="B69" s="168" t="s">
        <v>588</v>
      </c>
      <c r="C69" s="169"/>
      <c r="D69" s="169"/>
      <c r="E69" s="169"/>
      <c r="F69" s="169"/>
      <c r="G69" s="169"/>
      <c r="H69" s="169"/>
      <c r="I69" s="169"/>
      <c r="J69" s="169"/>
      <c r="K69" s="183">
        <f>'General Variables'!B14</f>
        <v>20</v>
      </c>
      <c r="L69" s="143"/>
    </row>
    <row r="70" spans="2:12" x14ac:dyDescent="0.2">
      <c r="B70" s="129" t="s">
        <v>369</v>
      </c>
      <c r="C70" s="232" t="s">
        <v>427</v>
      </c>
      <c r="D70" s="233"/>
      <c r="E70" s="234"/>
      <c r="F70" s="171">
        <f>IF(C70=0,0,VLOOKUP(C70,RETable,2,FALSE))</f>
        <v>730</v>
      </c>
      <c r="G70" s="222" t="s">
        <v>370</v>
      </c>
      <c r="H70" s="222"/>
      <c r="I70" s="164">
        <f>'General Variables'!$B$10</f>
        <v>0.04</v>
      </c>
      <c r="K70" s="184">
        <f>ROUND(F70*I70,2)</f>
        <v>29.2</v>
      </c>
      <c r="L70" s="143"/>
    </row>
    <row r="71" spans="2:12" ht="13.5" thickBot="1" x14ac:dyDescent="0.25">
      <c r="B71" s="129" t="s">
        <v>378</v>
      </c>
      <c r="F71" s="173">
        <f>IF(C70=0,0,VLOOKUP(C70,RETable,2,FALSE))</f>
        <v>730</v>
      </c>
      <c r="G71" s="221" t="s">
        <v>370</v>
      </c>
      <c r="H71" s="221"/>
      <c r="I71" s="174">
        <f>'General Variables'!$B$13</f>
        <v>0.01</v>
      </c>
      <c r="J71" s="175"/>
      <c r="K71" s="185">
        <f>ROUND(F71*I71,2)</f>
        <v>7.3</v>
      </c>
      <c r="L71" s="167"/>
    </row>
    <row r="72" spans="2:12" ht="13.5" thickTop="1" x14ac:dyDescent="0.2">
      <c r="B72" s="140" t="s">
        <v>383</v>
      </c>
      <c r="K72" s="177">
        <f>SUM(K67:K71)</f>
        <v>183.000575</v>
      </c>
      <c r="L72" s="143"/>
    </row>
    <row r="73" spans="2:12" x14ac:dyDescent="0.2">
      <c r="K73" s="162"/>
    </row>
    <row r="74" spans="2:12" x14ac:dyDescent="0.2">
      <c r="B74" s="140" t="str">
        <f>"Cost per "&amp;$B$4</f>
        <v>Cost per bu</v>
      </c>
      <c r="K74" s="177">
        <f>IF(A4="Yield",0,K72/A4)</f>
        <v>5.2285878571428572</v>
      </c>
      <c r="L74" s="143"/>
    </row>
    <row r="75" spans="2:12" x14ac:dyDescent="0.2">
      <c r="B75" s="178" t="str">
        <f>"Cash Cost per "&amp;$B$4</f>
        <v>Cash Cost per bu</v>
      </c>
      <c r="C75" s="175"/>
      <c r="D75" s="175"/>
      <c r="E75" s="175"/>
      <c r="F75" s="175"/>
      <c r="G75" s="175"/>
      <c r="H75" s="175"/>
      <c r="I75" s="175"/>
      <c r="J75" s="175"/>
      <c r="K75" s="179">
        <f>IF(A4="Yield",0,(E66+K66)/A4)</f>
        <v>3.1391592857142858</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505</v>
      </c>
    </row>
    <row r="112" spans="2:11" x14ac:dyDescent="0.2">
      <c r="B112" s="175"/>
      <c r="C112" s="175"/>
      <c r="D112" s="175"/>
      <c r="H112" s="129" t="str">
        <f>'General Variables'!A20</f>
        <v>Corn Irrigated</v>
      </c>
      <c r="K112" s="129" t="s">
        <v>506</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4">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49-Sorghum-Sudan</v>
      </c>
      <c r="B2" s="138"/>
      <c r="C2" s="136" t="s">
        <v>550</v>
      </c>
      <c r="D2" s="136"/>
      <c r="E2" s="138"/>
      <c r="I2" s="189" t="s">
        <v>419</v>
      </c>
      <c r="J2" s="138"/>
      <c r="L2" s="139" t="str">
        <f>'General Variables'!A3&amp;" "&amp;'General Variables'!B3</f>
        <v>Year 2016</v>
      </c>
      <c r="O2" s="135" t="s">
        <v>407</v>
      </c>
    </row>
    <row r="3" spans="1:15" hidden="1" x14ac:dyDescent="0.2">
      <c r="A3" s="137" t="s">
        <v>541</v>
      </c>
      <c r="B3" s="138"/>
      <c r="C3" s="136"/>
      <c r="D3" s="136"/>
      <c r="E3" s="138"/>
      <c r="G3" s="136"/>
      <c r="I3" s="138" t="s">
        <v>539</v>
      </c>
      <c r="O3" s="135" t="s">
        <v>406</v>
      </c>
    </row>
    <row r="4" spans="1:15" hidden="1" x14ac:dyDescent="0.2">
      <c r="A4" s="137">
        <v>3.3</v>
      </c>
      <c r="B4" s="137" t="s">
        <v>57</v>
      </c>
      <c r="C4" s="136"/>
      <c r="D4" s="136"/>
      <c r="E4" s="138"/>
      <c r="F4" s="138"/>
      <c r="G4" s="138"/>
      <c r="H4" s="138"/>
      <c r="I4" s="138"/>
      <c r="J4" s="139" t="s">
        <v>504</v>
      </c>
      <c r="K4" s="140"/>
      <c r="O4" s="135" t="str">
        <f>B4</f>
        <v>ton</v>
      </c>
    </row>
    <row r="5" spans="1:15" ht="15.75" hidden="1" x14ac:dyDescent="0.25">
      <c r="A5" s="219" t="str">
        <f ca="1" xml:space="preserve"> A2  &amp; IF(C2="","",  ", " &amp;C2 ) &amp; ", " &amp; A3 &amp; ", " &amp; I2</f>
        <v>49-Sorghum-Sudan, Annually Planted, Large Round Bale, Dryland</v>
      </c>
      <c r="B5" s="219"/>
      <c r="C5" s="219"/>
      <c r="D5" s="219"/>
      <c r="E5" s="219"/>
      <c r="F5" s="219"/>
      <c r="G5" s="219"/>
      <c r="H5" s="219"/>
      <c r="I5" s="219"/>
      <c r="J5" s="219"/>
      <c r="K5" s="219"/>
      <c r="L5" s="219"/>
      <c r="O5" s="135"/>
    </row>
    <row r="6" spans="1:15" ht="15.75" hidden="1" x14ac:dyDescent="0.25">
      <c r="A6" s="194"/>
      <c r="B6" s="194"/>
      <c r="C6" s="194"/>
      <c r="D6" s="194"/>
      <c r="E6" s="194"/>
      <c r="F6" s="194"/>
      <c r="G6" s="194"/>
      <c r="H6" s="194"/>
      <c r="I6" s="194"/>
      <c r="J6" s="194"/>
      <c r="K6" s="194"/>
      <c r="L6" s="194"/>
      <c r="O6" s="135"/>
    </row>
    <row r="7" spans="1:15" ht="30" customHeight="1" x14ac:dyDescent="0.25">
      <c r="A7" s="219" t="str">
        <f ca="1">'General Variables'!B3 &amp; " Budget "  &amp; A2 &amp;", "  &amp; IF(C2=0,"", " " &amp; C2 &amp; ", ") &amp;  A3 &amp; IF(A4=""," ", " (") &amp; A4 &amp; " " &amp; B4 &amp; IF(A4="",""," Actual Yield)")</f>
        <v>2016 Budget 49-Sorghum-Sudan,  Annually Planted, Large Round Bale (3.3 ton Actual Yield)</v>
      </c>
      <c r="B7" s="219"/>
      <c r="C7" s="219"/>
      <c r="D7" s="219"/>
      <c r="E7" s="219"/>
      <c r="F7" s="219"/>
      <c r="G7" s="219"/>
      <c r="H7" s="219"/>
      <c r="I7" s="219"/>
      <c r="J7" s="219"/>
      <c r="K7" s="219"/>
      <c r="L7" s="219"/>
      <c r="O7" s="135"/>
    </row>
    <row r="8" spans="1:15" ht="15.75" x14ac:dyDescent="0.25">
      <c r="A8" s="141" t="str">
        <f>IF(I2="Dryland","Dryland",I2 &amp; IF(J2="","",", "&amp;J2)&amp;IF(H3="","",", "&amp;H3&amp;" "&amp;I3))</f>
        <v>Dryland</v>
      </c>
      <c r="B8" s="137"/>
      <c r="C8" s="136"/>
      <c r="D8" s="136"/>
      <c r="E8" s="138"/>
      <c r="F8" s="138"/>
      <c r="G8" s="138"/>
      <c r="H8" s="138"/>
      <c r="I8" s="138"/>
      <c r="O8" s="135"/>
    </row>
    <row r="10" spans="1:15" s="140" customFormat="1" ht="22.5" customHeight="1" x14ac:dyDescent="0.2">
      <c r="B10" s="228" t="s">
        <v>71</v>
      </c>
      <c r="C10" s="227" t="s">
        <v>1</v>
      </c>
      <c r="D10" s="198"/>
      <c r="E10" s="227" t="str">
        <f>"Labor @ $" &amp;TEXT('General Variables'!B4,"#.00")&amp; " /Hr"</f>
        <v>Labor @ $20.00 /Hr</v>
      </c>
      <c r="F10" s="227" t="str">
        <f>"Fuel @ $" &amp; TEXT('General Variables'!B5,"#.00") &amp; " and Lube"</f>
        <v>Fuel @ $2.25 and Lube</v>
      </c>
      <c r="G10" s="230" t="s">
        <v>72</v>
      </c>
      <c r="H10" s="230"/>
      <c r="I10" s="230" t="s">
        <v>354</v>
      </c>
      <c r="J10" s="230"/>
      <c r="K10" s="230" t="s">
        <v>2</v>
      </c>
      <c r="L10" s="227" t="s">
        <v>361</v>
      </c>
    </row>
    <row r="11" spans="1:15" s="140" customFormat="1" ht="21.75" customHeight="1" thickBot="1" x14ac:dyDescent="0.25">
      <c r="B11" s="229"/>
      <c r="C11" s="226"/>
      <c r="D11" s="197" t="s">
        <v>70</v>
      </c>
      <c r="E11" s="226"/>
      <c r="F11" s="226"/>
      <c r="G11" s="199" t="s">
        <v>73</v>
      </c>
      <c r="H11" s="199" t="s">
        <v>75</v>
      </c>
      <c r="I11" s="199" t="s">
        <v>73</v>
      </c>
      <c r="J11" s="199" t="s">
        <v>75</v>
      </c>
      <c r="K11" s="231"/>
      <c r="L11" s="226"/>
    </row>
    <row r="12" spans="1:15" ht="13.5" thickTop="1" x14ac:dyDescent="0.2">
      <c r="A12" s="196">
        <v>1</v>
      </c>
      <c r="B12" s="204" t="s">
        <v>558</v>
      </c>
      <c r="C12" s="206">
        <v>1</v>
      </c>
      <c r="D12" s="200"/>
      <c r="E12" s="142">
        <f>IF(B12=0,"",IF(C12&gt;9999,"",ROUND('General Variables'!$B$4*VLOOKUP(B12,Operations!$A$2:$U$101,10,FALSE)/VLOOKUP(B12,Operations!$A$2:$U$101,9,FALSE)*C12,2)))</f>
        <v>2.02</v>
      </c>
      <c r="F12" s="142">
        <f>IF(B12=0,0,IF(C12&gt;9999,"",ROUND(IF(VLOOKUP(B12,Operations!$A$2:$U$101,12,FALSE)=0,VLOOKUP(B12,Operations!$A$2:$U$101,13,FALSE)*'General Variables'!$B$8,VLOOKUP(B12,Operations!$A$2:$U$101,12,FALSE)*'General Variables'!$B$7)/VLOOKUP(B12,Operations!$A$2:$U$101,9,FALSE)*C12,2)))</f>
        <v>1.97</v>
      </c>
      <c r="G12" s="142">
        <f>IF(B12=0,0,IF(C12&gt;9999,"",ROUND(VLOOKUP(VLOOKUP(B12,Operations!$A$2:$U$101,11,FALSE),PowerUnits[],10,FALSE)/VLOOKUP(B12,Operations!$A$2:$U$101,9,FALSE)*C12,2)))</f>
        <v>0.28999999999999998</v>
      </c>
      <c r="H12" s="142">
        <f>IF(B12=0,"",IF(C12&gt;9999,"",ROUND(VLOOKUP($B12,Operations!$A$2:$U$101,15,FALSE)*C12,2)))</f>
        <v>1.24</v>
      </c>
      <c r="I12" s="142">
        <f>IF(B12=0,0,IF(C12&gt;9999,"",ROUND(VLOOKUP(VLOOKUP(B12,Operations!$A$2:$U$101,11,FALSE),PowerUnits[],16,FALSE)/VLOOKUP(B12,Operations!$A$2:$U$101,9,FALSE)*C12,2)))</f>
        <v>4.1399999999999997</v>
      </c>
      <c r="J12" s="142">
        <f>IF(B12=0,"",IF(C12&gt;9999,"",ROUND(VLOOKUP($B12,Operations!$A$2:$U$101,21,FALSE)*$C12,2)))</f>
        <v>1.21</v>
      </c>
      <c r="K12" s="142">
        <f>IF(C12&gt;9999,"",ROUND(SUM(E12:J12),2))</f>
        <v>10.87</v>
      </c>
      <c r="L12" s="143"/>
    </row>
    <row r="13" spans="1:15" x14ac:dyDescent="0.2">
      <c r="A13" s="196">
        <v>2</v>
      </c>
      <c r="B13" s="204" t="s">
        <v>499</v>
      </c>
      <c r="C13" s="206">
        <v>1</v>
      </c>
      <c r="D13" s="200"/>
      <c r="E13" s="142">
        <f>IF(B13=0,"",IF(C13&gt;9999,"",ROUND('General Variables'!$B$4*VLOOKUP(B13,Operations!$A$2:$U$101,10,FALSE)/VLOOKUP(B13,Operations!$A$2:$U$101,9,FALSE)*C13,2)))</f>
        <v>1</v>
      </c>
      <c r="F13" s="142">
        <f>IF(B13=0,0,IF(C13&gt;9999,"",ROUND(IF(VLOOKUP(B13,Operations!$A$2:$U$101,12,FALSE)=0,VLOOKUP(B13,Operations!$A$2:$U$101,13,FALSE)*'General Variables'!$B$8,VLOOKUP(B13,Operations!$A$2:$U$101,12,FALSE)*'General Variables'!$B$7)/VLOOKUP(B13,Operations!$A$2:$U$101,9,FALSE)*C13,2)))</f>
        <v>0.27</v>
      </c>
      <c r="G13" s="142">
        <f>IF(B13=0,0,IF(C13&gt;9999,"",ROUND(VLOOKUP(VLOOKUP(B13,Operations!$A$2:$U$101,11,FALSE),PowerUnits[],10,FALSE)/VLOOKUP(B13,Operations!$A$2:$U$101,9,FALSE)*C13,2)))</f>
        <v>0.33</v>
      </c>
      <c r="H13" s="142">
        <f>IF(B13=0,"",IF(C13&gt;9999,"",ROUND(VLOOKUP($B13,Operations!$A$2:$U$101,15,FALSE)*C13,2)))</f>
        <v>0.19</v>
      </c>
      <c r="I13" s="142">
        <f>IF(B13=0,0,IF(C13&gt;9999,"",ROUND(VLOOKUP(VLOOKUP(B13,Operations!$A$2:$U$101,11,FALSE),PowerUnits[],16,FALSE)/VLOOKUP(B13,Operations!$A$2:$U$101,9,FALSE)*C13,2)))</f>
        <v>1.1100000000000001</v>
      </c>
      <c r="J13" s="142">
        <f>IF(B13=0,"",IF(C13&gt;9999,"",ROUND(VLOOKUP($B13,Operations!$A$2:$U$101,21,FALSE)*$C13,2)))</f>
        <v>2.21</v>
      </c>
      <c r="K13" s="142">
        <f t="shared" ref="K13:K31" si="0">IF(C13&gt;9999,"",ROUND(SUM(E13:J13),2))</f>
        <v>5.1100000000000003</v>
      </c>
      <c r="L13" s="143"/>
    </row>
    <row r="14" spans="1:15" x14ac:dyDescent="0.2">
      <c r="A14" s="196">
        <v>3</v>
      </c>
      <c r="B14" s="204" t="s">
        <v>282</v>
      </c>
      <c r="C14" s="206">
        <v>1</v>
      </c>
      <c r="D14" s="200"/>
      <c r="E14" s="142">
        <f>IF(B14=0,"",IF(C14&gt;9999,"",ROUND('General Variables'!$B$4*VLOOKUP(B14,Operations!$A$2:$U$101,10,FALSE)/VLOOKUP(B14,Operations!$A$2:$U$101,9,FALSE)*C14,2)))</f>
        <v>1.47</v>
      </c>
      <c r="F14" s="142">
        <f>IF(B14=0,0,IF(C14&gt;9999,"",ROUND(IF(VLOOKUP(B14,Operations!$A$2:$U$101,12,FALSE)=0,VLOOKUP(B14,Operations!$A$2:$U$101,13,FALSE)*'General Variables'!$B$8,VLOOKUP(B14,Operations!$A$2:$U$101,12,FALSE)*'General Variables'!$B$7)/VLOOKUP(B14,Operations!$A$2:$U$101,9,FALSE)*C14,2)))</f>
        <v>1.41</v>
      </c>
      <c r="G14" s="142">
        <f>IF(B14=0,0,IF(C14&gt;9999,"",ROUND(VLOOKUP(VLOOKUP(B14,Operations!$A$2:$U$101,11,FALSE),PowerUnits[],10,FALSE)/VLOOKUP(B14,Operations!$A$2:$U$101,9,FALSE)*C14,2)))</f>
        <v>0.56000000000000005</v>
      </c>
      <c r="H14" s="142">
        <f>IF(B14=0,"",IF(C14&gt;9999,"",ROUND(VLOOKUP($B14,Operations!$A$2:$U$101,15,FALSE)*C14,2)))</f>
        <v>1.28</v>
      </c>
      <c r="I14" s="142">
        <f>IF(B14=0,0,IF(C14&gt;9999,"",ROUND(VLOOKUP(VLOOKUP(B14,Operations!$A$2:$U$101,11,FALSE),PowerUnits[],16,FALSE)/VLOOKUP(B14,Operations!$A$2:$U$101,9,FALSE)*C14,2)))</f>
        <v>1.84</v>
      </c>
      <c r="J14" s="142">
        <f>IF(B14=0,"",IF(C14&gt;9999,"",ROUND(VLOOKUP($B14,Operations!$A$2:$U$101,21,FALSE)*$C14,2)))</f>
        <v>1.57</v>
      </c>
      <c r="K14" s="142">
        <f t="shared" si="0"/>
        <v>8.1300000000000008</v>
      </c>
      <c r="L14" s="143"/>
    </row>
    <row r="15" spans="1:15" x14ac:dyDescent="0.2">
      <c r="A15" s="196">
        <v>4</v>
      </c>
      <c r="B15" s="204" t="s">
        <v>279</v>
      </c>
      <c r="C15" s="206">
        <v>1</v>
      </c>
      <c r="D15" s="200"/>
      <c r="E15" s="142">
        <f>IF(B15=0,"",IF(C15&gt;9999,"",ROUND('General Variables'!$B$4*VLOOKUP(B15,Operations!$A$2:$U$101,10,FALSE)/VLOOKUP(B15,Operations!$A$2:$U$101,9,FALSE)*C15,2)))</f>
        <v>1.76</v>
      </c>
      <c r="F15" s="142">
        <f>IF(B15=0,0,IF(C15&gt;9999,"",ROUND(IF(VLOOKUP(B15,Operations!$A$2:$U$101,12,FALSE)=0,VLOOKUP(B15,Operations!$A$2:$U$101,13,FALSE)*'General Variables'!$B$8,VLOOKUP(B15,Operations!$A$2:$U$101,12,FALSE)*'General Variables'!$B$7)/VLOOKUP(B15,Operations!$A$2:$U$101,9,FALSE)*C15,2)))</f>
        <v>1.03</v>
      </c>
      <c r="G15" s="142">
        <f>IF(B15=0,0,IF(C15&gt;9999,"",ROUND(VLOOKUP(VLOOKUP(B15,Operations!$A$2:$U$101,11,FALSE),PowerUnits[],10,FALSE)/VLOOKUP(B15,Operations!$A$2:$U$101,9,FALSE)*C15,2)))</f>
        <v>0.67</v>
      </c>
      <c r="H15" s="142">
        <f>IF(B15=0,"",IF(C15&gt;9999,"",ROUND(VLOOKUP($B15,Operations!$A$2:$U$101,15,FALSE)*C15,2)))</f>
        <v>2.94</v>
      </c>
      <c r="I15" s="142">
        <f>IF(B15=0,0,IF(C15&gt;9999,"",ROUND(VLOOKUP(VLOOKUP(B15,Operations!$A$2:$U$101,11,FALSE),PowerUnits[],16,FALSE)/VLOOKUP(B15,Operations!$A$2:$U$101,9,FALSE)*C15,2)))</f>
        <v>2.21</v>
      </c>
      <c r="J15" s="142">
        <f>IF(B15=0,"",IF(C15&gt;9999,"",ROUND(VLOOKUP($B15,Operations!$A$2:$U$101,21,FALSE)*$C15,2)))</f>
        <v>2.62</v>
      </c>
      <c r="K15" s="142">
        <f t="shared" si="0"/>
        <v>11.23</v>
      </c>
      <c r="L15" s="143"/>
    </row>
    <row r="16" spans="1:15" x14ac:dyDescent="0.2">
      <c r="A16" s="196">
        <v>5</v>
      </c>
      <c r="B16" s="204" t="s">
        <v>563</v>
      </c>
      <c r="C16" s="206">
        <v>1</v>
      </c>
      <c r="D16" s="200"/>
      <c r="E16" s="142">
        <f>IF(B16=0,"",IF(C16&gt;9999,"",ROUND('General Variables'!$B$4*VLOOKUP(B16,Operations!$A$2:$U$101,10,FALSE)/VLOOKUP(B16,Operations!$A$2:$U$101,9,FALSE)*C16,2)))</f>
        <v>2</v>
      </c>
      <c r="F16" s="142">
        <f>IF(B16=0,0,IF(C16&gt;9999,"",ROUND(IF(VLOOKUP(B16,Operations!$A$2:$U$101,12,FALSE)=0,VLOOKUP(B16,Operations!$A$2:$U$101,13,FALSE)*'General Variables'!$B$8,VLOOKUP(B16,Operations!$A$2:$U$101,12,FALSE)*'General Variables'!$B$7)/VLOOKUP(B16,Operations!$A$2:$U$101,9,FALSE)*C16,2)))</f>
        <v>1.29</v>
      </c>
      <c r="G16" s="142">
        <f>IF(B16=0,0,IF(C16&gt;9999,"",ROUND(VLOOKUP(VLOOKUP(B16,Operations!$A$2:$U$101,11,FALSE),PowerUnits[],10,FALSE)/VLOOKUP(B16,Operations!$A$2:$U$101,9,FALSE)*C16,2)))</f>
        <v>2.29</v>
      </c>
      <c r="H16" s="142">
        <f>IF(B16=0,"",IF(C16&gt;9999,"",ROUND(VLOOKUP($B16,Operations!$A$2:$U$101,15,FALSE)*C16,2)))</f>
        <v>0</v>
      </c>
      <c r="I16" s="142">
        <f>IF(B16=0,0,IF(C16&gt;9999,"",ROUND(VLOOKUP(VLOOKUP(B16,Operations!$A$2:$U$101,11,FALSE),PowerUnits[],16,FALSE)/VLOOKUP(B16,Operations!$A$2:$U$101,9,FALSE)*C16,2)))</f>
        <v>3.61</v>
      </c>
      <c r="J16" s="142">
        <f>IF(B16=0,"",IF(C16&gt;9999,"",ROUND(VLOOKUP($B16,Operations!$A$2:$U$101,21,FALSE)*$C16,2)))</f>
        <v>0</v>
      </c>
      <c r="K16" s="142">
        <f t="shared" si="0"/>
        <v>9.19</v>
      </c>
      <c r="L16" s="143"/>
    </row>
    <row r="17" spans="1:12" x14ac:dyDescent="0.2">
      <c r="A17" s="196">
        <v>6</v>
      </c>
      <c r="B17" s="204" t="s">
        <v>541</v>
      </c>
      <c r="C17" s="205">
        <f>A4</f>
        <v>3.3</v>
      </c>
      <c r="D17" s="200" t="s">
        <v>57</v>
      </c>
      <c r="E17" s="142">
        <f>IF(B17=0,"",IF(C17&gt;9999,"",ROUND('General Variables'!$B$4*VLOOKUP(B17,Operations!$A$2:$U$101,10,FALSE)/VLOOKUP(B17,Operations!$A$2:$U$101,9,FALSE)*C17,2)))</f>
        <v>7.26</v>
      </c>
      <c r="F17" s="142">
        <f>IF(B17=0,0,IF(C17&gt;9999,"",ROUND(IF(VLOOKUP(B17,Operations!$A$2:$U$101,12,FALSE)=0,VLOOKUP(B17,Operations!$A$2:$U$101,13,FALSE)*'General Variables'!$B$8,VLOOKUP(B17,Operations!$A$2:$U$101,12,FALSE)*'General Variables'!$B$7)/VLOOKUP(B17,Operations!$A$2:$U$101,9,FALSE)*C17,2)))</f>
        <v>2.46</v>
      </c>
      <c r="G17" s="142">
        <f>IF(B17=0,0,IF(C17&gt;9999,"",ROUND(VLOOKUP(VLOOKUP(B17,Operations!$A$2:$U$101,11,FALSE),PowerUnits[],10,FALSE)/VLOOKUP(B17,Operations!$A$2:$U$101,9,FALSE)*C17,2)))</f>
        <v>2.75</v>
      </c>
      <c r="H17" s="142">
        <f>IF(B17=0,"",IF(C17&gt;9999,"",ROUND(VLOOKUP($B17,Operations!$A$2:$U$101,15,FALSE)*C17,2)))</f>
        <v>6.65</v>
      </c>
      <c r="I17" s="142">
        <f>IF(B17=0,0,IF(C17&gt;9999,"",ROUND(VLOOKUP(VLOOKUP(B17,Operations!$A$2:$U$101,11,FALSE),PowerUnits[],16,FALSE)/VLOOKUP(B17,Operations!$A$2:$U$101,9,FALSE)*C17,2)))</f>
        <v>9.1199999999999992</v>
      </c>
      <c r="J17" s="142">
        <f>IF(B17=0,"",IF(C17&gt;9999,"",ROUND(VLOOKUP($B17,Operations!$A$2:$U$101,21,FALSE)*$C17,2)))</f>
        <v>6.93</v>
      </c>
      <c r="K17" s="142">
        <f>IF(C17&gt;9999,"",ROUND(SUM(E17:J17),2))</f>
        <v>35.17</v>
      </c>
      <c r="L17" s="143"/>
    </row>
    <row r="18" spans="1:12" x14ac:dyDescent="0.2">
      <c r="A18" s="196">
        <v>7</v>
      </c>
      <c r="B18" s="204" t="s">
        <v>544</v>
      </c>
      <c r="C18" s="205">
        <f>A4</f>
        <v>3.3</v>
      </c>
      <c r="D18" s="200" t="s">
        <v>57</v>
      </c>
      <c r="E18" s="142">
        <f>IF(B18=0,"",IF(C18&gt;9999,"",ROUND('General Variables'!$B$4*VLOOKUP(B18,Operations!$A$2:$U$101,10,FALSE)/VLOOKUP(B18,Operations!$A$2:$U$101,9,FALSE)*C18,2)))</f>
        <v>3.63</v>
      </c>
      <c r="F18" s="142">
        <f>IF(B18=0,0,IF(C18&gt;9999,"",ROUND(IF(VLOOKUP(B18,Operations!$A$2:$U$101,12,FALSE)=0,VLOOKUP(B18,Operations!$A$2:$U$101,13,FALSE)*'General Variables'!$B$8,VLOOKUP(B18,Operations!$A$2:$U$101,12,FALSE)*'General Variables'!$B$7)/VLOOKUP(B18,Operations!$A$2:$U$101,9,FALSE)*C18,2)))</f>
        <v>1.71</v>
      </c>
      <c r="G18" s="142">
        <f>IF(B18=0,0,IF(C18&gt;9999,"",ROUND(VLOOKUP(VLOOKUP(B18,Operations!$A$2:$U$101,11,FALSE),PowerUnits[],10,FALSE)/VLOOKUP(B18,Operations!$A$2:$U$101,9,FALSE)*C18,2)))</f>
        <v>1.37</v>
      </c>
      <c r="H18" s="142">
        <f>IF(B18=0,"",IF(C18&gt;9999,"",ROUND(VLOOKUP($B18,Operations!$A$2:$U$101,15,FALSE)*C18,2)))</f>
        <v>0</v>
      </c>
      <c r="I18" s="142">
        <f>IF(B18=0,0,IF(C18&gt;9999,"",ROUND(VLOOKUP(VLOOKUP(B18,Operations!$A$2:$U$101,11,FALSE),PowerUnits[],16,FALSE)/VLOOKUP(B18,Operations!$A$2:$U$101,9,FALSE)*C18,2)))</f>
        <v>4.5599999999999996</v>
      </c>
      <c r="J18" s="142">
        <f>IF(B18=0,"",IF(C18&gt;9999,"",ROUND(VLOOKUP($B18,Operations!$A$2:$U$101,21,FALSE)*$C18,2)))</f>
        <v>0.19</v>
      </c>
      <c r="K18" s="142">
        <f>IF(C18&gt;9999,"",ROUND(SUM(E18:J18),2))</f>
        <v>11.46</v>
      </c>
      <c r="L18" s="143"/>
    </row>
    <row r="19" spans="1:12" hidden="1" x14ac:dyDescent="0.2">
      <c r="A19" s="196">
        <v>8</v>
      </c>
      <c r="B19" s="203"/>
      <c r="C19" s="205"/>
      <c r="D19" s="200"/>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6">
        <v>9</v>
      </c>
      <c r="B20" s="203"/>
      <c r="C20" s="205"/>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6">
        <v>10</v>
      </c>
      <c r="B21" s="203"/>
      <c r="C21" s="205"/>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6">
        <v>11</v>
      </c>
      <c r="B22" s="203"/>
      <c r="C22" s="205"/>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6">
        <v>12</v>
      </c>
      <c r="B23" s="203"/>
      <c r="C23" s="205"/>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6">
        <v>13</v>
      </c>
      <c r="B24" s="203"/>
      <c r="C24" s="205"/>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6">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6">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6">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6">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6">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6">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6">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6"/>
      <c r="B32" s="146"/>
      <c r="C32" s="147"/>
      <c r="D32" s="147"/>
      <c r="E32" s="148"/>
      <c r="F32" s="148"/>
      <c r="G32" s="148"/>
      <c r="H32" s="148"/>
      <c r="I32" s="148"/>
      <c r="J32" s="148"/>
      <c r="K32" s="148"/>
      <c r="L32" s="149"/>
    </row>
    <row r="33" spans="1:12" ht="13.5" thickTop="1" x14ac:dyDescent="0.2">
      <c r="C33" s="139" t="s">
        <v>74</v>
      </c>
      <c r="D33" s="139"/>
      <c r="E33" s="150">
        <f>SUM(E12:E31)</f>
        <v>19.14</v>
      </c>
      <c r="F33" s="150">
        <f t="shared" ref="F33:K33" si="1">SUM(F12:F31)</f>
        <v>10.14</v>
      </c>
      <c r="G33" s="150">
        <f t="shared" si="1"/>
        <v>8.2600000000000016</v>
      </c>
      <c r="H33" s="150">
        <f t="shared" si="1"/>
        <v>12.3</v>
      </c>
      <c r="I33" s="150">
        <f t="shared" si="1"/>
        <v>26.59</v>
      </c>
      <c r="J33" s="150">
        <f t="shared" si="1"/>
        <v>14.729999999999999</v>
      </c>
      <c r="K33" s="150">
        <f t="shared" si="1"/>
        <v>91.16</v>
      </c>
      <c r="L33" s="143"/>
    </row>
    <row r="35" spans="1:12" ht="24" customHeight="1" thickBot="1" x14ac:dyDescent="0.25">
      <c r="B35" s="136"/>
      <c r="C35" s="136"/>
      <c r="D35" s="136"/>
      <c r="E35" s="136"/>
      <c r="F35" s="226" t="s">
        <v>85</v>
      </c>
      <c r="G35" s="226" t="s">
        <v>82</v>
      </c>
      <c r="H35" s="227" t="s">
        <v>86</v>
      </c>
      <c r="I35" s="227"/>
      <c r="J35" s="226" t="s">
        <v>62</v>
      </c>
      <c r="L35" s="227" t="s">
        <v>361</v>
      </c>
    </row>
    <row r="36" spans="1:12" s="151" customFormat="1" ht="18.75" customHeight="1" thickTop="1" thickBot="1" x14ac:dyDescent="0.25">
      <c r="B36" s="152" t="s">
        <v>81</v>
      </c>
      <c r="C36" s="197"/>
      <c r="D36" s="197"/>
      <c r="E36" s="197"/>
      <c r="F36" s="226"/>
      <c r="G36" s="226"/>
      <c r="H36" s="190" t="s">
        <v>87</v>
      </c>
      <c r="I36" s="191" t="s">
        <v>70</v>
      </c>
      <c r="J36" s="226"/>
      <c r="K36" s="197" t="s">
        <v>83</v>
      </c>
      <c r="L36" s="226"/>
    </row>
    <row r="37" spans="1:12" ht="13.5" thickTop="1" x14ac:dyDescent="0.2">
      <c r="A37" s="175"/>
      <c r="B37" s="204" t="s">
        <v>13</v>
      </c>
      <c r="C37" s="220" t="str">
        <f>IF(B37=0,"",VLOOKUP($B37,Materials!$B$2:$H$127,2,FALSE))</f>
        <v>Fertilizer</v>
      </c>
      <c r="D37" s="220"/>
      <c r="E37" s="220"/>
      <c r="F37" s="206">
        <v>2</v>
      </c>
      <c r="G37" s="211">
        <v>1</v>
      </c>
      <c r="H37" s="210">
        <v>40</v>
      </c>
      <c r="I37" s="153" t="str">
        <f>IF($B37=0,"",VLOOKUP($B37,Materials!$B$2:$H$127,5,FALSE))</f>
        <v>lbs N</v>
      </c>
      <c r="J37" s="142">
        <f>IF($B37=0,"",VLOOKUP($B37,Materials!$B$2:$H$127,7,FALSE))</f>
        <v>0.46666666666666662</v>
      </c>
      <c r="K37" s="150">
        <f>IF(B37=0,0,ROUND(G37*H37*J37,2))</f>
        <v>18.670000000000002</v>
      </c>
      <c r="L37" s="143"/>
    </row>
    <row r="38" spans="1:12" x14ac:dyDescent="0.2">
      <c r="A38" s="175"/>
      <c r="B38" s="204" t="s">
        <v>49</v>
      </c>
      <c r="C38" s="220" t="str">
        <f>IF(B38=0,"",VLOOKUP($B38,Materials!$B$2:$H$127,2,FALSE))</f>
        <v>Seed</v>
      </c>
      <c r="D38" s="220"/>
      <c r="E38" s="220"/>
      <c r="F38" s="206">
        <v>4</v>
      </c>
      <c r="G38" s="211">
        <v>1</v>
      </c>
      <c r="H38" s="210">
        <v>10</v>
      </c>
      <c r="I38" s="153" t="str">
        <f>IF($B38=0,"",VLOOKUP($B38,Materials!$B$2:$H$127,5,FALSE))</f>
        <v>pound</v>
      </c>
      <c r="J38" s="142">
        <f>IF($B38=0,"",VLOOKUP($B38,Materials!$B$2:$H$127,7,FALSE))</f>
        <v>0.7</v>
      </c>
      <c r="K38" s="150">
        <f t="shared" ref="K38:K55" si="2">IF(B38=0,0,ROUND(G38*H38*J38,2))</f>
        <v>7</v>
      </c>
      <c r="L38" s="143"/>
    </row>
    <row r="39" spans="1:12" x14ac:dyDescent="0.2">
      <c r="A39" s="175"/>
      <c r="B39" s="204" t="s">
        <v>565</v>
      </c>
      <c r="C39" s="220" t="str">
        <f>IF(B39=0,"",VLOOKUP($B39,Materials!$B$2:$H$127,2,FALSE))</f>
        <v>Other</v>
      </c>
      <c r="D39" s="220"/>
      <c r="E39" s="220"/>
      <c r="F39" s="206">
        <v>6</v>
      </c>
      <c r="G39" s="211">
        <v>1</v>
      </c>
      <c r="H39" s="210">
        <f>A4</f>
        <v>3.3</v>
      </c>
      <c r="I39" s="153" t="str">
        <f>IF($B39=0,"",VLOOKUP($B39,Materials!$B$2:$H$127,5,FALSE))</f>
        <v>ton</v>
      </c>
      <c r="J39" s="142">
        <f>IF($B39=0,"",VLOOKUP($B39,Materials!$B$2:$H$127,7,FALSE))</f>
        <v>0.90968161143599735</v>
      </c>
      <c r="K39" s="150">
        <f t="shared" si="2"/>
        <v>3</v>
      </c>
      <c r="L39" s="143"/>
    </row>
    <row r="40" spans="1:12" hidden="1" x14ac:dyDescent="0.2">
      <c r="A40" s="175"/>
      <c r="B40" s="203"/>
      <c r="C40" s="220" t="str">
        <f>IF(B40=0,"",VLOOKUP($B40,Materials!$B$2:$H$127,2,FALSE))</f>
        <v/>
      </c>
      <c r="D40" s="220"/>
      <c r="E40" s="220"/>
      <c r="F40" s="205"/>
      <c r="G40" s="207"/>
      <c r="H40" s="208"/>
      <c r="I40" s="153" t="str">
        <f>IF($B40=0,"",VLOOKUP($B40,Materials!$B$2:$H$127,5,FALSE))</f>
        <v/>
      </c>
      <c r="J40" s="142" t="str">
        <f>IF($B40=0,"",VLOOKUP($B40,Materials!$B$2:$H$127,7,FALSE))</f>
        <v/>
      </c>
      <c r="K40" s="150">
        <f t="shared" si="2"/>
        <v>0</v>
      </c>
      <c r="L40" s="143"/>
    </row>
    <row r="41" spans="1:12" hidden="1" x14ac:dyDescent="0.2">
      <c r="A41" s="175"/>
      <c r="B41" s="203"/>
      <c r="C41" s="220" t="str">
        <f>IF(B41=0,"",VLOOKUP($B41,Materials!$B$2:$H$127,2,FALSE))</f>
        <v/>
      </c>
      <c r="D41" s="220"/>
      <c r="E41" s="220"/>
      <c r="F41" s="205"/>
      <c r="G41" s="207"/>
      <c r="H41" s="209"/>
      <c r="I41" s="153" t="str">
        <f>IF($B41=0,"",VLOOKUP($B41,Materials!$B$2:$H$127,5,FALSE))</f>
        <v/>
      </c>
      <c r="J41" s="142" t="str">
        <f>IF($B41=0,"",VLOOKUP($B41,Materials!$B$2:$H$127,7,FALSE))</f>
        <v/>
      </c>
      <c r="K41" s="150">
        <f t="shared" si="2"/>
        <v>0</v>
      </c>
      <c r="L41" s="143"/>
    </row>
    <row r="42" spans="1:12" hidden="1" x14ac:dyDescent="0.2">
      <c r="A42" s="175"/>
      <c r="B42" s="203"/>
      <c r="C42" s="220" t="str">
        <f>IF(B42=0,"",VLOOKUP($B42,Materials!$B$2:$H$127,2,FALSE))</f>
        <v/>
      </c>
      <c r="D42" s="220"/>
      <c r="E42" s="220"/>
      <c r="F42" s="205"/>
      <c r="G42" s="207"/>
      <c r="H42" s="209"/>
      <c r="I42" s="153" t="str">
        <f>IF($B42=0,"",VLOOKUP($B42,Materials!$B$2:$H$127,5,FALSE))</f>
        <v/>
      </c>
      <c r="J42" s="142" t="str">
        <f>IF($B42=0,"",VLOOKUP($B42,Materials!$B$2:$H$127,7,FALSE))</f>
        <v/>
      </c>
      <c r="K42" s="150">
        <f t="shared" si="2"/>
        <v>0</v>
      </c>
      <c r="L42" s="143"/>
    </row>
    <row r="43" spans="1:12" hidden="1" x14ac:dyDescent="0.2">
      <c r="A43" s="180"/>
      <c r="B43" s="203"/>
      <c r="C43" s="220" t="str">
        <f>IF(B43=0,"",VLOOKUP($B43,Materials!$B$2:$H$127,2,FALSE))</f>
        <v/>
      </c>
      <c r="D43" s="220"/>
      <c r="E43" s="220"/>
      <c r="F43" s="205"/>
      <c r="G43" s="207"/>
      <c r="H43" s="208"/>
      <c r="I43" s="153" t="str">
        <f>IF($B43=0,"",VLOOKUP($B43,Materials!$B$2:$H$127,5,FALSE))</f>
        <v/>
      </c>
      <c r="J43" s="142" t="str">
        <f>IF($B43=0,"",VLOOKUP($B43,Materials!$B$2:$H$127,7,FALSE))</f>
        <v/>
      </c>
      <c r="K43" s="150">
        <f t="shared" si="2"/>
        <v>0</v>
      </c>
      <c r="L43" s="143"/>
    </row>
    <row r="44" spans="1:12" hidden="1" x14ac:dyDescent="0.2">
      <c r="A44" s="180"/>
      <c r="B44" s="203"/>
      <c r="C44" s="220" t="str">
        <f>IF(B44=0,"",VLOOKUP($B44,Materials!$B$2:$H$127,2,FALSE))</f>
        <v/>
      </c>
      <c r="D44" s="220"/>
      <c r="E44" s="220"/>
      <c r="F44" s="205"/>
      <c r="G44" s="207"/>
      <c r="H44" s="208"/>
      <c r="I44" s="153" t="str">
        <f>IF($B44=0,"",VLOOKUP($B44,Materials!$B$2:$H$127,5,FALSE))</f>
        <v/>
      </c>
      <c r="J44" s="142" t="str">
        <f>IF($B44=0,"",VLOOKUP($B44,Materials!$B$2:$H$127,7,FALSE))</f>
        <v/>
      </c>
      <c r="K44" s="150">
        <f t="shared" si="2"/>
        <v>0</v>
      </c>
      <c r="L44" s="143"/>
    </row>
    <row r="45" spans="1:12" hidden="1" x14ac:dyDescent="0.2">
      <c r="A45" s="180"/>
      <c r="B45" s="203"/>
      <c r="C45" s="220" t="str">
        <f>IF(B45=0,"",VLOOKUP($B45,Materials!$B$2:$H$127,2,FALSE))</f>
        <v/>
      </c>
      <c r="D45" s="220"/>
      <c r="E45" s="220"/>
      <c r="F45" s="205"/>
      <c r="G45" s="207"/>
      <c r="H45" s="208"/>
      <c r="I45" s="153" t="str">
        <f>IF($B45=0,"",VLOOKUP($B45,Materials!$B$2:$H$127,5,FALSE))</f>
        <v/>
      </c>
      <c r="J45" s="142" t="str">
        <f>IF($B45=0,"",VLOOKUP($B45,Materials!$B$2:$H$127,7,FALSE))</f>
        <v/>
      </c>
      <c r="K45" s="150">
        <f t="shared" si="2"/>
        <v>0</v>
      </c>
      <c r="L45" s="143"/>
    </row>
    <row r="46" spans="1:12" hidden="1" x14ac:dyDescent="0.2">
      <c r="A46" s="180"/>
      <c r="B46" s="203"/>
      <c r="C46" s="220" t="str">
        <f>IF(B46=0,"",VLOOKUP($B46,Materials!$B$2:$H$127,2,FALSE))</f>
        <v/>
      </c>
      <c r="D46" s="220"/>
      <c r="E46" s="220"/>
      <c r="F46" s="205"/>
      <c r="G46" s="207"/>
      <c r="H46" s="208"/>
      <c r="I46" s="153" t="str">
        <f>IF($B46=0,"",VLOOKUP($B46,Materials!$B$2:$H$127,5,FALSE))</f>
        <v/>
      </c>
      <c r="J46" s="142" t="str">
        <f>IF($B46=0,"",VLOOKUP($B46,Materials!$B$2:$H$127,7,FALSE))</f>
        <v/>
      </c>
      <c r="K46" s="150">
        <f t="shared" si="2"/>
        <v>0</v>
      </c>
      <c r="L46" s="143"/>
    </row>
    <row r="47" spans="1:12" hidden="1" x14ac:dyDescent="0.2">
      <c r="A47" s="180"/>
      <c r="B47" s="203"/>
      <c r="C47" s="220" t="str">
        <f>IF(B47=0,"",VLOOKUP($B47,Materials!$B$2:$H$127,2,FALSE))</f>
        <v/>
      </c>
      <c r="D47" s="220"/>
      <c r="E47" s="220"/>
      <c r="F47" s="205"/>
      <c r="G47" s="207"/>
      <c r="H47" s="208"/>
      <c r="I47" s="153" t="str">
        <f>IF($B47=0,"",VLOOKUP($B47,Materials!$B$2:$H$127,5,FALSE))</f>
        <v/>
      </c>
      <c r="J47" s="142" t="str">
        <f>IF($B47=0,"",VLOOKUP($B47,Materials!$B$2:$H$127,7,FALSE))</f>
        <v/>
      </c>
      <c r="K47" s="150">
        <f t="shared" si="2"/>
        <v>0</v>
      </c>
      <c r="L47" s="143"/>
    </row>
    <row r="48" spans="1:12" hidden="1" x14ac:dyDescent="0.2">
      <c r="A48" s="175"/>
      <c r="B48" s="203"/>
      <c r="C48" s="220" t="str">
        <f>IF(B48=0,"",VLOOKUP($B48,Materials!$B$2:$H$127,2,FALSE))</f>
        <v/>
      </c>
      <c r="D48" s="220"/>
      <c r="E48" s="220"/>
      <c r="F48" s="205"/>
      <c r="G48" s="207"/>
      <c r="H48" s="208"/>
      <c r="I48" s="153" t="str">
        <f>IF($B48=0,"",VLOOKUP($B48,Materials!$B$2:$H$127,5,FALSE))</f>
        <v/>
      </c>
      <c r="J48" s="142" t="str">
        <f>IF($B48=0,"",VLOOKUP($B48,Materials!$B$2:$H$127,7,FALSE))</f>
        <v/>
      </c>
      <c r="K48" s="150">
        <f t="shared" si="2"/>
        <v>0</v>
      </c>
      <c r="L48" s="143"/>
    </row>
    <row r="49" spans="1:12" hidden="1" x14ac:dyDescent="0.2">
      <c r="A49" s="175"/>
      <c r="B49" s="203"/>
      <c r="C49" s="220" t="str">
        <f>IF(B49=0,"",VLOOKUP($B49,Materials!$B$2:$H$127,2,FALSE))</f>
        <v/>
      </c>
      <c r="D49" s="220"/>
      <c r="E49" s="220"/>
      <c r="F49" s="205"/>
      <c r="G49" s="207"/>
      <c r="H49" s="208"/>
      <c r="I49" s="153" t="str">
        <f>IF($B49=0,"",VLOOKUP($B49,Materials!$B$2:$H$127,5,FALSE))</f>
        <v/>
      </c>
      <c r="J49" s="142" t="str">
        <f>IF($B49=0,"",VLOOKUP($B49,Materials!$B$2:$H$127,7,FALSE))</f>
        <v/>
      </c>
      <c r="K49" s="150">
        <f t="shared" si="2"/>
        <v>0</v>
      </c>
      <c r="L49" s="143"/>
    </row>
    <row r="50" spans="1:12" hidden="1" x14ac:dyDescent="0.2">
      <c r="B50" s="204"/>
      <c r="C50" s="220" t="str">
        <f>IF(B50=0,"",VLOOKUP($B50,Materials!$B$2:$H$127,2,FALSE))</f>
        <v/>
      </c>
      <c r="D50" s="220"/>
      <c r="E50" s="220"/>
      <c r="F50" s="206"/>
      <c r="G50" s="207"/>
      <c r="H50" s="210"/>
      <c r="I50" s="153" t="str">
        <f>IF($B50=0,"",VLOOKUP($B50,Materials!$B$2:$H$127,5,FALSE))</f>
        <v/>
      </c>
      <c r="J50" s="142" t="str">
        <f>IF($B50=0,"",VLOOKUP($B50,Materials!$B$2:$H$127,7,FALSE))</f>
        <v/>
      </c>
      <c r="K50" s="150">
        <f t="shared" si="2"/>
        <v>0</v>
      </c>
      <c r="L50" s="143"/>
    </row>
    <row r="51" spans="1:12" hidden="1" x14ac:dyDescent="0.2">
      <c r="B51" s="204"/>
      <c r="C51" s="220" t="str">
        <f>IF(B51=0,"",VLOOKUP($B51,Materials!$B$2:$H$127,2,FALSE))</f>
        <v/>
      </c>
      <c r="D51" s="220"/>
      <c r="E51" s="220"/>
      <c r="F51" s="206"/>
      <c r="G51" s="207"/>
      <c r="H51" s="210"/>
      <c r="I51" s="153" t="str">
        <f>IF($B51=0,"",VLOOKUP($B51,Materials!$B$2:$H$127,5,FALSE))</f>
        <v/>
      </c>
      <c r="J51" s="142" t="str">
        <f>IF($B51=0,"",VLOOKUP($B51,Materials!$B$2:$H$127,7,FALSE))</f>
        <v/>
      </c>
      <c r="K51" s="150">
        <f t="shared" si="2"/>
        <v>0</v>
      </c>
      <c r="L51" s="143"/>
    </row>
    <row r="52" spans="1:12" hidden="1" x14ac:dyDescent="0.2">
      <c r="B52" s="204"/>
      <c r="C52" s="220" t="str">
        <f>IF(B52=0,"",VLOOKUP($B52,Materials!$B$2:$H$127,2,FALSE))</f>
        <v/>
      </c>
      <c r="D52" s="220"/>
      <c r="E52" s="220"/>
      <c r="F52" s="206"/>
      <c r="G52" s="211"/>
      <c r="H52" s="210"/>
      <c r="I52" s="153" t="str">
        <f>IF($B52=0,"",VLOOKUP($B52,Materials!$B$2:$H$127,5,FALSE))</f>
        <v/>
      </c>
      <c r="J52" s="142" t="str">
        <f>IF($B52=0,"",VLOOKUP($B52,Materials!$B$2:$H$127,7,FALSE))</f>
        <v/>
      </c>
      <c r="K52" s="150">
        <f t="shared" si="2"/>
        <v>0</v>
      </c>
      <c r="L52" s="143"/>
    </row>
    <row r="53" spans="1:12" hidden="1" x14ac:dyDescent="0.2">
      <c r="B53" s="204"/>
      <c r="C53" s="220" t="str">
        <f>IF(B53=0,"",VLOOKUP($B53,Materials!$B$2:$H$127,2,FALSE))</f>
        <v/>
      </c>
      <c r="D53" s="220"/>
      <c r="E53" s="220"/>
      <c r="F53" s="206"/>
      <c r="G53" s="211"/>
      <c r="H53" s="210"/>
      <c r="I53" s="153" t="str">
        <f>IF($B53=0,"",VLOOKUP($B53,Materials!$B$2:$H$127,5,FALSE))</f>
        <v/>
      </c>
      <c r="J53" s="142" t="str">
        <f>IF($B53=0,"",VLOOKUP($B53,Materials!$B$2:$H$127,7,FALSE))</f>
        <v/>
      </c>
      <c r="K53" s="150">
        <f t="shared" si="2"/>
        <v>0</v>
      </c>
      <c r="L53" s="143"/>
    </row>
    <row r="54" spans="1:12" hidden="1" x14ac:dyDescent="0.2">
      <c r="B54" s="204"/>
      <c r="C54" s="220" t="str">
        <f>IF(B54=0,"",VLOOKUP($B54,Materials!$B$2:$H$127,2,FALSE))</f>
        <v/>
      </c>
      <c r="D54" s="220"/>
      <c r="E54" s="220"/>
      <c r="F54" s="206"/>
      <c r="G54" s="211"/>
      <c r="H54" s="210"/>
      <c r="I54" s="153" t="str">
        <f>IF($B54=0,"",VLOOKUP($B54,Materials!$B$2:$H$127,5,FALSE))</f>
        <v/>
      </c>
      <c r="J54" s="142" t="str">
        <f>IF($B54=0,"",VLOOKUP($B54,Materials!$B$2:$H$127,7,FALSE))</f>
        <v/>
      </c>
      <c r="K54" s="150">
        <f t="shared" si="2"/>
        <v>0</v>
      </c>
      <c r="L54" s="143"/>
    </row>
    <row r="55" spans="1:12" hidden="1" x14ac:dyDescent="0.2">
      <c r="B55" s="204"/>
      <c r="C55" s="220" t="str">
        <f>IF(B55=0,"",VLOOKUP($B55,Materials!$B$2:$H$127,2,FALSE))</f>
        <v/>
      </c>
      <c r="D55" s="220"/>
      <c r="E55" s="220"/>
      <c r="F55" s="206"/>
      <c r="G55" s="211"/>
      <c r="H55" s="210"/>
      <c r="I55" s="153" t="str">
        <f>IF($B55=0,"",VLOOKUP($B55,Materials!$B$2:$H$127,5,FALSE))</f>
        <v/>
      </c>
      <c r="J55" s="142" t="str">
        <f>IF($B55=0,"",VLOOKUP($B55,Materials!$B$2:$H$127,7,FALSE))</f>
        <v/>
      </c>
      <c r="K55" s="150">
        <f t="shared" si="2"/>
        <v>0</v>
      </c>
      <c r="L55" s="145"/>
    </row>
    <row r="56" spans="1:12" hidden="1" x14ac:dyDescent="0.2">
      <c r="B56" s="204"/>
      <c r="C56" s="220" t="str">
        <f>IF(B56=0,"",VLOOKUP($B56,Materials!$B$2:$H$127,2,FALSE))</f>
        <v/>
      </c>
      <c r="D56" s="220"/>
      <c r="E56" s="220"/>
      <c r="F56" s="206"/>
      <c r="G56" s="211"/>
      <c r="H56" s="210"/>
      <c r="I56" s="153" t="str">
        <f>IF($B56=0,"",VLOOKUP($B56,Materials!$B$2:$H$127,5,FALSE))</f>
        <v/>
      </c>
      <c r="J56" s="142" t="str">
        <f>IF($B56=0,"",VLOOKUP($B56,Materials!$B$2:$H$127,7,FALSE))</f>
        <v/>
      </c>
      <c r="K56" s="150">
        <f>IF(B56=0,0,ROUND(G56*H56*J56,2))</f>
        <v>0</v>
      </c>
      <c r="L56" s="145"/>
    </row>
    <row r="57" spans="1:12" hidden="1" x14ac:dyDescent="0.2">
      <c r="B57" s="204"/>
      <c r="C57" s="220" t="str">
        <f>IF(B57=0,"",VLOOKUP($B57,Materials!$B$2:$H$127,2,FALSE))</f>
        <v/>
      </c>
      <c r="D57" s="220"/>
      <c r="E57" s="220"/>
      <c r="F57" s="206"/>
      <c r="G57" s="211"/>
      <c r="H57" s="210"/>
      <c r="I57" s="153" t="str">
        <f>IF($B57=0,"",VLOOKUP($B57,Materials!$B$2:$H$127,5,FALSE))</f>
        <v/>
      </c>
      <c r="J57" s="142" t="str">
        <f>IF($B57=0,"",VLOOKUP($B57,Materials!$B$2:$H$127,7,FALSE))</f>
        <v/>
      </c>
      <c r="K57" s="150">
        <f>IF(B57=0,0,ROUND(G57*H57*J57,2))</f>
        <v>0</v>
      </c>
      <c r="L57" s="145"/>
    </row>
    <row r="58" spans="1:12" hidden="1" x14ac:dyDescent="0.2">
      <c r="B58" s="204"/>
      <c r="C58" s="220" t="str">
        <f>IF(B58=0,"",VLOOKUP($B58,Materials!$B$2:$H$127,2,FALSE))</f>
        <v/>
      </c>
      <c r="D58" s="220"/>
      <c r="E58" s="220"/>
      <c r="F58" s="206"/>
      <c r="G58" s="211"/>
      <c r="H58" s="210"/>
      <c r="I58" s="153" t="str">
        <f>IF($B58=0,"",VLOOKUP($B58,Materials!$B$2:$H$127,5,FALSE))</f>
        <v/>
      </c>
      <c r="J58" s="142" t="str">
        <f>IF($B58=0,"",VLOOKUP($B58,Materials!$B$2:$H$127,7,FALSE))</f>
        <v/>
      </c>
      <c r="K58" s="150">
        <f>IF(B58=0,0,ROUND(G58*H58*J58,2))</f>
        <v>0</v>
      </c>
      <c r="L58" s="145"/>
    </row>
    <row r="59" spans="1:12" hidden="1" x14ac:dyDescent="0.2">
      <c r="B59" s="204"/>
      <c r="C59" s="220" t="str">
        <f>IF(B59=0,"",VLOOKUP($B59,Materials!$B$2:$H$127,2,FALSE))</f>
        <v/>
      </c>
      <c r="D59" s="220"/>
      <c r="E59" s="220"/>
      <c r="F59" s="206"/>
      <c r="G59" s="211"/>
      <c r="H59" s="210"/>
      <c r="I59" s="153" t="str">
        <f>IF($B59=0,"",VLOOKUP($B59,Materials!$B$2:$H$127,5,FALSE))</f>
        <v/>
      </c>
      <c r="J59" s="142" t="str">
        <f>IF($B59=0,"",VLOOKUP($B59,Materials!$B$2:$H$127,7,FALSE))</f>
        <v/>
      </c>
      <c r="K59" s="150">
        <f>IF(B59=0,0,ROUND(G59*H59*J59,2))</f>
        <v>0</v>
      </c>
      <c r="L59" s="145"/>
    </row>
    <row r="60" spans="1:12" hidden="1" x14ac:dyDescent="0.2">
      <c r="B60" s="204"/>
      <c r="C60" s="220" t="str">
        <f>IF(B60=0,"",VLOOKUP($B60,Materials!$B$2:$H$127,2,FALSE))</f>
        <v/>
      </c>
      <c r="D60" s="220"/>
      <c r="E60" s="220"/>
      <c r="F60" s="206"/>
      <c r="G60" s="211"/>
      <c r="H60" s="210"/>
      <c r="I60" s="153" t="str">
        <f>IF($B60=0,"",VLOOKUP($B60,Materials!$B$2:$H$127,5,FALSE))</f>
        <v/>
      </c>
      <c r="J60" s="142" t="str">
        <f>IF($B60=0,"",VLOOKUP($B60,Materials!$B$2:$H$127,7,FALSE))</f>
        <v/>
      </c>
      <c r="K60" s="150">
        <f>IF(B60=0,0,ROUND(G60*H60*J60,2))</f>
        <v>0</v>
      </c>
      <c r="L60" s="145"/>
    </row>
    <row r="61" spans="1:12" hidden="1" x14ac:dyDescent="0.2">
      <c r="B61" s="204"/>
      <c r="C61" s="220">
        <f>IF(B61=0,0,"Crop Insurance")</f>
        <v>0</v>
      </c>
      <c r="D61" s="220"/>
      <c r="E61" s="220"/>
      <c r="F61" s="144"/>
      <c r="G61" s="201"/>
      <c r="H61" s="202"/>
      <c r="I61" s="195"/>
      <c r="J61" s="142"/>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28.67</v>
      </c>
      <c r="L63" s="143"/>
    </row>
    <row r="64" spans="1:12" x14ac:dyDescent="0.2">
      <c r="B64" s="181"/>
      <c r="K64" s="161"/>
    </row>
    <row r="65" spans="2:12" x14ac:dyDescent="0.2">
      <c r="B65" s="140" t="s">
        <v>552</v>
      </c>
      <c r="K65" s="161">
        <f>K33+K63</f>
        <v>119.83</v>
      </c>
      <c r="L65" s="143"/>
    </row>
    <row r="66" spans="2:12" ht="13.5" thickBot="1" x14ac:dyDescent="0.25">
      <c r="D66" s="162" t="s">
        <v>570</v>
      </c>
      <c r="E66" s="163">
        <f>ROUND(SUM($E$33:$H$33)+$K$63,2)</f>
        <v>78.510000000000005</v>
      </c>
      <c r="F66" s="222" t="s">
        <v>362</v>
      </c>
      <c r="G66" s="222"/>
      <c r="H66" s="164">
        <f>'General Variables'!$B$11</f>
        <v>5.5E-2</v>
      </c>
      <c r="I66" s="165" t="str">
        <f>CONCATENATE("for ",TEXT('General Variables'!$B$12,"0.0")," mo.")</f>
        <v>for 6.0 mo.</v>
      </c>
      <c r="K66" s="166">
        <f>E66*H66*'General Variables'!$B$12/12</f>
        <v>2.1590250000000002</v>
      </c>
      <c r="L66" s="167"/>
    </row>
    <row r="67" spans="2:12" ht="13.5" thickTop="1" x14ac:dyDescent="0.2">
      <c r="B67" s="140" t="s">
        <v>366</v>
      </c>
      <c r="K67" s="161">
        <f>SUM(K65:K66)</f>
        <v>121.989025</v>
      </c>
      <c r="L67" s="143"/>
    </row>
    <row r="68" spans="2:12" x14ac:dyDescent="0.2">
      <c r="K68" s="161"/>
    </row>
    <row r="69" spans="2:12" x14ac:dyDescent="0.2">
      <c r="B69" s="168" t="s">
        <v>588</v>
      </c>
      <c r="C69" s="169"/>
      <c r="D69" s="169"/>
      <c r="E69" s="169"/>
      <c r="F69" s="169"/>
      <c r="G69" s="169"/>
      <c r="H69" s="169"/>
      <c r="I69" s="169"/>
      <c r="J69" s="169"/>
      <c r="K69" s="170">
        <f>'General Variables'!B14</f>
        <v>20</v>
      </c>
      <c r="L69" s="143"/>
    </row>
    <row r="70" spans="2:12" x14ac:dyDescent="0.2">
      <c r="B70" s="129" t="s">
        <v>369</v>
      </c>
      <c r="C70" s="223" t="s">
        <v>420</v>
      </c>
      <c r="D70" s="224"/>
      <c r="E70" s="225"/>
      <c r="F70" s="171">
        <f>IF(C70=0,0,VLOOKUP(C70,RETable,2,FALSE))</f>
        <v>3390</v>
      </c>
      <c r="G70" s="222" t="s">
        <v>370</v>
      </c>
      <c r="H70" s="222"/>
      <c r="I70" s="164">
        <f>'General Variables'!$B$10</f>
        <v>0.04</v>
      </c>
      <c r="K70" s="172">
        <f>ROUND(F70*I70,2)</f>
        <v>135.6</v>
      </c>
      <c r="L70" s="143"/>
    </row>
    <row r="71" spans="2:12" ht="13.5" thickBot="1" x14ac:dyDescent="0.25">
      <c r="B71" s="129" t="s">
        <v>378</v>
      </c>
      <c r="F71" s="173">
        <f>IF(C70=0,0,VLOOKUP(C70,RETable,2,FALSE))</f>
        <v>3390</v>
      </c>
      <c r="G71" s="221" t="s">
        <v>370</v>
      </c>
      <c r="H71" s="221"/>
      <c r="I71" s="174">
        <f>'General Variables'!$B$13</f>
        <v>0.01</v>
      </c>
      <c r="J71" s="175"/>
      <c r="K71" s="176">
        <f>ROUND(F71*I71,2)</f>
        <v>33.9</v>
      </c>
      <c r="L71" s="167"/>
    </row>
    <row r="72" spans="2:12" ht="13.5" thickTop="1" x14ac:dyDescent="0.2">
      <c r="B72" s="140" t="s">
        <v>383</v>
      </c>
      <c r="K72" s="161">
        <f>SUM(K67:K71)</f>
        <v>311.48902499999997</v>
      </c>
      <c r="L72" s="143"/>
    </row>
    <row r="73" spans="2:12" x14ac:dyDescent="0.2">
      <c r="K73" s="162"/>
    </row>
    <row r="74" spans="2:12" x14ac:dyDescent="0.2">
      <c r="B74" s="140" t="str">
        <f>"Cost per "&amp;$B$4</f>
        <v>Cost per ton</v>
      </c>
      <c r="K74" s="177">
        <f>IF(A4="Yield",0,K72/$A$4)</f>
        <v>94.390613636363639</v>
      </c>
      <c r="L74" s="143"/>
    </row>
    <row r="75" spans="2:12" x14ac:dyDescent="0.2">
      <c r="B75" s="178" t="str">
        <f>"Cash Cost per "&amp;$B$4</f>
        <v>Cash Cost per ton</v>
      </c>
      <c r="C75" s="175"/>
      <c r="D75" s="175"/>
      <c r="E75" s="175"/>
      <c r="F75" s="175"/>
      <c r="G75" s="175"/>
      <c r="H75" s="175"/>
      <c r="I75" s="175"/>
      <c r="J75" s="175"/>
      <c r="K75" s="179">
        <f>IF($A$4="Yield",0,(E66+K66+K71)/$A$4)</f>
        <v>34.717886363636367</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505</v>
      </c>
    </row>
    <row r="112" spans="2:11" x14ac:dyDescent="0.2">
      <c r="B112" s="175"/>
      <c r="C112" s="175"/>
      <c r="D112" s="175"/>
      <c r="H112" s="129" t="str">
        <f>'General Variables'!A20</f>
        <v>Corn Irrigated</v>
      </c>
      <c r="K112" s="129" t="s">
        <v>506</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14" t="s">
        <v>516</v>
      </c>
      <c r="B1" s="214"/>
      <c r="C1" s="214"/>
      <c r="D1" s="214"/>
      <c r="E1" s="214"/>
      <c r="F1" s="214"/>
      <c r="G1" s="214"/>
      <c r="H1" s="214"/>
      <c r="I1" s="214"/>
    </row>
    <row r="3" spans="1:14" ht="15.75" x14ac:dyDescent="0.25">
      <c r="A3" s="8" t="s">
        <v>343</v>
      </c>
      <c r="B3" s="15">
        <v>2016</v>
      </c>
      <c r="C3" s="19"/>
      <c r="E3" s="77" t="s">
        <v>375</v>
      </c>
      <c r="M3" s="11"/>
      <c r="N3" s="11"/>
    </row>
    <row r="4" spans="1:14" x14ac:dyDescent="0.2">
      <c r="A4" s="9" t="s">
        <v>76</v>
      </c>
      <c r="B4" s="13">
        <v>20</v>
      </c>
      <c r="C4" s="20" t="s">
        <v>79</v>
      </c>
      <c r="E4" s="7" t="s">
        <v>376</v>
      </c>
      <c r="F4" s="7" t="s">
        <v>377</v>
      </c>
    </row>
    <row r="5" spans="1:14" x14ac:dyDescent="0.2">
      <c r="A5" s="9" t="s">
        <v>77</v>
      </c>
      <c r="B5" s="13">
        <v>2.25</v>
      </c>
      <c r="C5" s="21" t="s">
        <v>589</v>
      </c>
      <c r="E5" s="23" t="s">
        <v>420</v>
      </c>
      <c r="F5" s="78">
        <v>3390</v>
      </c>
    </row>
    <row r="6" spans="1:14" x14ac:dyDescent="0.2">
      <c r="A6" s="10" t="s">
        <v>385</v>
      </c>
      <c r="B6" s="16">
        <v>1.1499999999999999</v>
      </c>
      <c r="C6" s="21"/>
      <c r="E6" s="23" t="s">
        <v>427</v>
      </c>
      <c r="F6" s="78">
        <v>730</v>
      </c>
    </row>
    <row r="7" spans="1:14" x14ac:dyDescent="0.2">
      <c r="A7" s="10" t="s">
        <v>386</v>
      </c>
      <c r="B7" s="70">
        <f>B5*B6</f>
        <v>2.5874999999999999</v>
      </c>
      <c r="C7" s="20" t="s">
        <v>589</v>
      </c>
      <c r="E7" s="23" t="s">
        <v>371</v>
      </c>
      <c r="F7" s="78">
        <v>6900</v>
      </c>
    </row>
    <row r="8" spans="1:14" x14ac:dyDescent="0.2">
      <c r="A8" s="9" t="s">
        <v>78</v>
      </c>
      <c r="B8" s="14">
        <v>0.105</v>
      </c>
      <c r="C8" s="20" t="s">
        <v>80</v>
      </c>
      <c r="E8" s="23" t="s">
        <v>372</v>
      </c>
      <c r="F8" s="78">
        <v>3235</v>
      </c>
    </row>
    <row r="9" spans="1:14" x14ac:dyDescent="0.2">
      <c r="A9" s="9" t="s">
        <v>342</v>
      </c>
      <c r="B9" s="17">
        <v>0.02</v>
      </c>
      <c r="C9" s="22"/>
      <c r="E9" s="23" t="s">
        <v>373</v>
      </c>
      <c r="F9" s="78">
        <v>7315</v>
      </c>
    </row>
    <row r="10" spans="1:14" x14ac:dyDescent="0.2">
      <c r="A10" s="9" t="s">
        <v>93</v>
      </c>
      <c r="B10" s="17">
        <v>0.04</v>
      </c>
      <c r="C10" s="22"/>
      <c r="E10" s="23" t="s">
        <v>374</v>
      </c>
      <c r="F10" s="78">
        <v>3625</v>
      </c>
    </row>
    <row r="11" spans="1:14" x14ac:dyDescent="0.2">
      <c r="A11" s="9" t="s">
        <v>363</v>
      </c>
      <c r="B11" s="17">
        <v>5.5E-2</v>
      </c>
      <c r="C11" s="21"/>
      <c r="E11" s="12" t="s">
        <v>423</v>
      </c>
      <c r="F11" s="79">
        <v>1855</v>
      </c>
    </row>
    <row r="12" spans="1:14" x14ac:dyDescent="0.2">
      <c r="A12" s="9" t="s">
        <v>364</v>
      </c>
      <c r="B12" s="18">
        <v>6</v>
      </c>
      <c r="C12" s="21" t="s">
        <v>365</v>
      </c>
      <c r="E12" s="12" t="s">
        <v>88</v>
      </c>
      <c r="F12" s="79">
        <v>0</v>
      </c>
    </row>
    <row r="13" spans="1:14" ht="13.5" customHeight="1" x14ac:dyDescent="0.2">
      <c r="A13" s="9" t="s">
        <v>379</v>
      </c>
      <c r="B13" s="17">
        <v>0.01</v>
      </c>
      <c r="C13" s="21"/>
      <c r="E13" s="12" t="s">
        <v>526</v>
      </c>
      <c r="F13" s="79">
        <f>F9*0.7</f>
        <v>5120.5</v>
      </c>
    </row>
    <row r="14" spans="1:14" ht="12.75" customHeight="1" x14ac:dyDescent="0.2">
      <c r="A14" s="9" t="s">
        <v>404</v>
      </c>
      <c r="B14" s="13">
        <v>20</v>
      </c>
      <c r="C14" s="21"/>
      <c r="E14" s="23" t="s">
        <v>533</v>
      </c>
      <c r="F14" s="78">
        <v>5980</v>
      </c>
    </row>
    <row r="15" spans="1:14" ht="12.75" customHeight="1" x14ac:dyDescent="0.2">
      <c r="E15" s="23"/>
      <c r="F15" s="78"/>
    </row>
    <row r="16" spans="1:14" ht="12.75" customHeight="1" x14ac:dyDescent="0.2">
      <c r="A16" s="77" t="s">
        <v>368</v>
      </c>
    </row>
    <row r="17" spans="1:14" ht="12.75" customHeight="1" x14ac:dyDescent="0.2">
      <c r="A17" s="74" t="s">
        <v>445</v>
      </c>
      <c r="B17" s="74" t="s">
        <v>455</v>
      </c>
    </row>
    <row r="18" spans="1:14" ht="12.75" customHeight="1" x14ac:dyDescent="0.2">
      <c r="A18" s="72" t="s">
        <v>447</v>
      </c>
      <c r="B18" s="73">
        <v>23</v>
      </c>
    </row>
    <row r="19" spans="1:14" ht="12.75" customHeight="1" x14ac:dyDescent="0.2">
      <c r="A19" s="72" t="s">
        <v>529</v>
      </c>
      <c r="B19" s="73">
        <v>20</v>
      </c>
    </row>
    <row r="20" spans="1:14" ht="12.75" customHeight="1" x14ac:dyDescent="0.2">
      <c r="A20" s="72" t="s">
        <v>446</v>
      </c>
      <c r="B20" s="73">
        <v>10</v>
      </c>
    </row>
    <row r="21" spans="1:14" ht="12.75" customHeight="1" x14ac:dyDescent="0.2">
      <c r="A21" s="72" t="s">
        <v>518</v>
      </c>
      <c r="B21" s="73">
        <v>21</v>
      </c>
    </row>
    <row r="22" spans="1:14" ht="12.75" customHeight="1" x14ac:dyDescent="0.2">
      <c r="A22" s="72" t="s">
        <v>453</v>
      </c>
      <c r="B22" s="73">
        <v>11</v>
      </c>
    </row>
    <row r="23" spans="1:14" ht="12.75" customHeight="1" x14ac:dyDescent="0.2">
      <c r="A23" s="72" t="s">
        <v>454</v>
      </c>
      <c r="B23" s="73">
        <v>10</v>
      </c>
    </row>
    <row r="24" spans="1:14" ht="12.75" customHeight="1" x14ac:dyDescent="0.2">
      <c r="A24" s="72" t="s">
        <v>39</v>
      </c>
      <c r="B24" s="73">
        <v>15</v>
      </c>
    </row>
    <row r="25" spans="1:14" ht="12.75" customHeight="1" x14ac:dyDescent="0.2">
      <c r="A25" s="72" t="s">
        <v>42</v>
      </c>
      <c r="B25" s="73">
        <v>11</v>
      </c>
    </row>
    <row r="26" spans="1:14" x14ac:dyDescent="0.2">
      <c r="A26" s="72" t="s">
        <v>449</v>
      </c>
      <c r="B26" s="73">
        <v>16</v>
      </c>
    </row>
    <row r="27" spans="1:14" x14ac:dyDescent="0.2">
      <c r="A27" s="72" t="s">
        <v>448</v>
      </c>
      <c r="B27" s="73">
        <v>8.5</v>
      </c>
    </row>
    <row r="28" spans="1:14" x14ac:dyDescent="0.2">
      <c r="A28" s="72" t="s">
        <v>450</v>
      </c>
      <c r="B28" s="73">
        <v>20</v>
      </c>
    </row>
    <row r="29" spans="1:14" x14ac:dyDescent="0.2">
      <c r="A29" s="72" t="s">
        <v>514</v>
      </c>
      <c r="B29" s="73">
        <v>14</v>
      </c>
    </row>
    <row r="30" spans="1:14" x14ac:dyDescent="0.2">
      <c r="A30" s="72" t="s">
        <v>515</v>
      </c>
      <c r="B30" s="73">
        <v>19</v>
      </c>
    </row>
    <row r="31" spans="1:14" x14ac:dyDescent="0.2">
      <c r="A31" s="72" t="s">
        <v>456</v>
      </c>
      <c r="B31" s="73">
        <v>14.5</v>
      </c>
    </row>
    <row r="32" spans="1:14" x14ac:dyDescent="0.2">
      <c r="A32" s="72" t="s">
        <v>451</v>
      </c>
      <c r="B32" s="73">
        <v>9.5</v>
      </c>
      <c r="M32" s="7" t="s">
        <v>458</v>
      </c>
      <c r="N32" s="7" t="s">
        <v>459</v>
      </c>
    </row>
    <row r="33" spans="1:14" x14ac:dyDescent="0.2">
      <c r="A33" s="72" t="s">
        <v>452</v>
      </c>
      <c r="B33" s="72">
        <v>13.25</v>
      </c>
      <c r="L33" s="7">
        <v>1</v>
      </c>
      <c r="M33" s="7" t="s">
        <v>517</v>
      </c>
      <c r="N33" s="7" t="s">
        <v>460</v>
      </c>
    </row>
    <row r="34" spans="1:14" ht="13.5" customHeight="1" x14ac:dyDescent="0.2">
      <c r="L34" s="7">
        <v>2</v>
      </c>
      <c r="M34" s="7" t="s">
        <v>517</v>
      </c>
      <c r="N34" s="7" t="s">
        <v>460</v>
      </c>
    </row>
    <row r="35" spans="1:14" x14ac:dyDescent="0.2">
      <c r="L35" s="7">
        <v>3</v>
      </c>
      <c r="M35" s="7" t="s">
        <v>517</v>
      </c>
      <c r="N35" s="7" t="s">
        <v>460</v>
      </c>
    </row>
    <row r="36" spans="1:14" x14ac:dyDescent="0.2">
      <c r="L36" s="7">
        <v>4</v>
      </c>
      <c r="M36" s="7" t="s">
        <v>517</v>
      </c>
      <c r="N36" s="7" t="s">
        <v>460</v>
      </c>
    </row>
    <row r="37" spans="1:14" x14ac:dyDescent="0.2">
      <c r="L37" s="7">
        <v>5</v>
      </c>
      <c r="M37" s="7" t="s">
        <v>517</v>
      </c>
      <c r="N37" s="7" t="s">
        <v>460</v>
      </c>
    </row>
    <row r="38" spans="1:14" x14ac:dyDescent="0.2">
      <c r="L38" s="7">
        <v>6</v>
      </c>
      <c r="M38" s="7" t="s">
        <v>517</v>
      </c>
      <c r="N38" s="7" t="s">
        <v>460</v>
      </c>
    </row>
    <row r="39" spans="1:14" x14ac:dyDescent="0.2">
      <c r="L39" s="7">
        <v>7</v>
      </c>
      <c r="M39" s="7" t="s">
        <v>517</v>
      </c>
      <c r="N39" s="7" t="s">
        <v>460</v>
      </c>
    </row>
    <row r="40" spans="1:14" ht="13.5" thickBot="1" x14ac:dyDescent="0.25">
      <c r="A40" s="76" t="s">
        <v>458</v>
      </c>
      <c r="B40" s="76" t="s">
        <v>459</v>
      </c>
      <c r="D40" s="212" t="s">
        <v>458</v>
      </c>
      <c r="E40" s="213"/>
      <c r="F40" s="76" t="s">
        <v>459</v>
      </c>
      <c r="H40" s="76" t="s">
        <v>458</v>
      </c>
      <c r="I40" s="76" t="s">
        <v>459</v>
      </c>
      <c r="L40" s="7">
        <v>8</v>
      </c>
      <c r="M40" s="7" t="s">
        <v>517</v>
      </c>
      <c r="N40" s="7" t="s">
        <v>460</v>
      </c>
    </row>
    <row r="41" spans="1:14" ht="13.5" thickTop="1" x14ac:dyDescent="0.2">
      <c r="A41" s="75" t="str">
        <f>CONCATENATE(L33,"-",M33)</f>
        <v>1-Alfalfa</v>
      </c>
      <c r="B41" s="75" t="str">
        <f>N33</f>
        <v>N/A</v>
      </c>
      <c r="D41" s="215" t="str">
        <f t="shared" ref="D41:D62" si="0">CONCATENATE(L56,"-",M56)</f>
        <v>24-Corn</v>
      </c>
      <c r="E41" s="216" t="str">
        <f t="shared" ref="E41:E62" si="1">CONCATENATE(P33,"-",Q33)</f>
        <v>-</v>
      </c>
      <c r="F41" s="80" t="str">
        <f>N56</f>
        <v>Buffalo</v>
      </c>
      <c r="H41" s="75" t="str">
        <f t="shared" ref="H41:H62" si="2">CONCATENATE(L78,"-",M78)</f>
        <v>46-Soybeans</v>
      </c>
      <c r="I41" s="75" t="str">
        <f>N78</f>
        <v>Buffalo</v>
      </c>
      <c r="L41" s="7">
        <v>9</v>
      </c>
      <c r="M41" s="7" t="s">
        <v>517</v>
      </c>
      <c r="N41" s="7" t="s">
        <v>460</v>
      </c>
    </row>
    <row r="42" spans="1:14" x14ac:dyDescent="0.2">
      <c r="A42" s="75" t="str">
        <f t="shared" ref="A42:A63" si="3">CONCATENATE(L34,"-",M34)</f>
        <v>2-Alfalfa</v>
      </c>
      <c r="B42" s="75" t="str">
        <f t="shared" ref="B42:B63" si="4">N34</f>
        <v>N/A</v>
      </c>
      <c r="D42" s="215" t="str">
        <f t="shared" si="0"/>
        <v>25-Corn</v>
      </c>
      <c r="E42" s="216" t="str">
        <f t="shared" si="1"/>
        <v>-</v>
      </c>
      <c r="F42" s="80" t="str">
        <f t="shared" ref="F42:F62" si="5">N57</f>
        <v>Buffalo</v>
      </c>
      <c r="H42" s="75" t="str">
        <f t="shared" si="2"/>
        <v>47-Soybeans</v>
      </c>
      <c r="I42" s="75" t="str">
        <f t="shared" ref="I42:I62" si="6">N79</f>
        <v>Buffalo</v>
      </c>
      <c r="L42" s="7">
        <v>10</v>
      </c>
      <c r="M42" s="7" t="s">
        <v>517</v>
      </c>
      <c r="N42" s="7" t="s">
        <v>460</v>
      </c>
    </row>
    <row r="43" spans="1:14" x14ac:dyDescent="0.2">
      <c r="A43" s="75" t="str">
        <f t="shared" si="3"/>
        <v>3-Alfalfa</v>
      </c>
      <c r="B43" s="75" t="str">
        <f t="shared" si="4"/>
        <v>N/A</v>
      </c>
      <c r="D43" s="215" t="str">
        <f t="shared" si="0"/>
        <v>26-Corn</v>
      </c>
      <c r="E43" s="216" t="str">
        <f t="shared" si="1"/>
        <v>-</v>
      </c>
      <c r="F43" s="80" t="str">
        <f t="shared" si="5"/>
        <v>Buffalo</v>
      </c>
      <c r="H43" s="75" t="str">
        <f t="shared" si="2"/>
        <v>48-Soybeans</v>
      </c>
      <c r="I43" s="75" t="str">
        <f t="shared" si="6"/>
        <v>Buffalo</v>
      </c>
      <c r="L43" s="7">
        <v>11</v>
      </c>
      <c r="M43" s="7" t="s">
        <v>517</v>
      </c>
      <c r="N43" s="7" t="s">
        <v>460</v>
      </c>
    </row>
    <row r="44" spans="1:14" x14ac:dyDescent="0.2">
      <c r="A44" s="75" t="str">
        <f t="shared" si="3"/>
        <v>4-Alfalfa</v>
      </c>
      <c r="B44" s="75" t="str">
        <f t="shared" si="4"/>
        <v>N/A</v>
      </c>
      <c r="D44" s="215" t="str">
        <f t="shared" si="0"/>
        <v>27-Corn</v>
      </c>
      <c r="E44" s="216" t="str">
        <f t="shared" si="1"/>
        <v>-</v>
      </c>
      <c r="F44" s="80" t="str">
        <f t="shared" si="5"/>
        <v>Buffalo</v>
      </c>
      <c r="H44" s="75" t="str">
        <f t="shared" si="2"/>
        <v>49-Soybeans</v>
      </c>
      <c r="I44" s="75" t="str">
        <f t="shared" si="6"/>
        <v>Buffalo</v>
      </c>
      <c r="L44" s="7">
        <v>12</v>
      </c>
      <c r="M44" s="7" t="s">
        <v>517</v>
      </c>
      <c r="N44" s="7" t="s">
        <v>460</v>
      </c>
    </row>
    <row r="45" spans="1:14" x14ac:dyDescent="0.2">
      <c r="A45" s="75" t="str">
        <f t="shared" si="3"/>
        <v>5-Alfalfa</v>
      </c>
      <c r="B45" s="75" t="str">
        <f t="shared" si="4"/>
        <v>N/A</v>
      </c>
      <c r="D45" s="215" t="str">
        <f t="shared" si="0"/>
        <v>28-Corn</v>
      </c>
      <c r="E45" s="216" t="str">
        <f t="shared" si="1"/>
        <v>-</v>
      </c>
      <c r="F45" s="80" t="str">
        <f t="shared" si="5"/>
        <v>Buffalo</v>
      </c>
      <c r="H45" s="75" t="str">
        <f t="shared" si="2"/>
        <v>50-Soybeans</v>
      </c>
      <c r="I45" s="75" t="str">
        <f t="shared" si="6"/>
        <v>Buffalo</v>
      </c>
      <c r="L45" s="7">
        <v>13</v>
      </c>
      <c r="M45" s="7" t="s">
        <v>517</v>
      </c>
      <c r="N45" s="7" t="s">
        <v>460</v>
      </c>
    </row>
    <row r="46" spans="1:14" x14ac:dyDescent="0.2">
      <c r="A46" s="75" t="str">
        <f t="shared" si="3"/>
        <v>6-Alfalfa</v>
      </c>
      <c r="B46" s="75" t="str">
        <f t="shared" si="4"/>
        <v>N/A</v>
      </c>
      <c r="D46" s="215" t="str">
        <f t="shared" si="0"/>
        <v>29-Corn</v>
      </c>
      <c r="E46" s="216" t="str">
        <f t="shared" si="1"/>
        <v>-</v>
      </c>
      <c r="F46" s="80" t="str">
        <f t="shared" si="5"/>
        <v>Buffalo</v>
      </c>
      <c r="H46" s="75" t="str">
        <f t="shared" si="2"/>
        <v>51-Soybeans</v>
      </c>
      <c r="I46" s="75" t="str">
        <f t="shared" si="6"/>
        <v>Buffalo</v>
      </c>
      <c r="L46" s="7">
        <v>14</v>
      </c>
      <c r="M46" s="7" t="s">
        <v>517</v>
      </c>
      <c r="N46" s="7" t="s">
        <v>460</v>
      </c>
    </row>
    <row r="47" spans="1:14" x14ac:dyDescent="0.2">
      <c r="A47" s="75" t="str">
        <f t="shared" si="3"/>
        <v>7-Alfalfa</v>
      </c>
      <c r="B47" s="75" t="str">
        <f t="shared" si="4"/>
        <v>N/A</v>
      </c>
      <c r="D47" s="215" t="str">
        <f t="shared" si="0"/>
        <v>30-Dry Beans</v>
      </c>
      <c r="E47" s="216" t="str">
        <f t="shared" si="1"/>
        <v>-</v>
      </c>
      <c r="F47" s="80" t="str">
        <f t="shared" si="5"/>
        <v>Cheyenne</v>
      </c>
      <c r="H47" s="75" t="str">
        <f t="shared" si="2"/>
        <v>52-Soybeans</v>
      </c>
      <c r="I47" s="75" t="str">
        <f t="shared" si="6"/>
        <v>Buffalo</v>
      </c>
      <c r="L47" s="7">
        <v>15</v>
      </c>
      <c r="M47" s="7" t="s">
        <v>23</v>
      </c>
      <c r="N47" s="7" t="s">
        <v>461</v>
      </c>
    </row>
    <row r="48" spans="1:14" x14ac:dyDescent="0.2">
      <c r="A48" s="75" t="str">
        <f t="shared" si="3"/>
        <v>8-Alfalfa</v>
      </c>
      <c r="B48" s="75" t="str">
        <f t="shared" si="4"/>
        <v>N/A</v>
      </c>
      <c r="D48" s="215" t="str">
        <f t="shared" si="0"/>
        <v>31-Dry Beans</v>
      </c>
      <c r="E48" s="216" t="str">
        <f t="shared" si="1"/>
        <v>-</v>
      </c>
      <c r="F48" s="80" t="str">
        <f t="shared" si="5"/>
        <v>Cheyenne</v>
      </c>
      <c r="H48" s="75" t="str">
        <f t="shared" si="2"/>
        <v>53-Soybeans</v>
      </c>
      <c r="I48" s="75" t="str">
        <f t="shared" si="6"/>
        <v>Buffalo</v>
      </c>
      <c r="L48" s="7">
        <v>16</v>
      </c>
      <c r="M48" s="7" t="s">
        <v>23</v>
      </c>
      <c r="N48" s="7" t="s">
        <v>461</v>
      </c>
    </row>
    <row r="49" spans="1:14" x14ac:dyDescent="0.2">
      <c r="A49" s="75" t="str">
        <f t="shared" si="3"/>
        <v>9-Alfalfa</v>
      </c>
      <c r="B49" s="75" t="str">
        <f t="shared" si="4"/>
        <v>N/A</v>
      </c>
      <c r="D49" s="215" t="str">
        <f t="shared" si="0"/>
        <v>32-Dry Beans</v>
      </c>
      <c r="E49" s="216" t="str">
        <f t="shared" si="1"/>
        <v>-</v>
      </c>
      <c r="F49" s="80" t="str">
        <f t="shared" si="5"/>
        <v>Cheyenne</v>
      </c>
      <c r="H49" s="75" t="str">
        <f t="shared" si="2"/>
        <v>54-Sugar Beets</v>
      </c>
      <c r="I49" s="75" t="str">
        <f t="shared" si="6"/>
        <v>Box Butte</v>
      </c>
      <c r="L49" s="7">
        <v>17</v>
      </c>
      <c r="M49" s="7" t="s">
        <v>23</v>
      </c>
      <c r="N49" s="7" t="s">
        <v>461</v>
      </c>
    </row>
    <row r="50" spans="1:14" x14ac:dyDescent="0.2">
      <c r="A50" s="75" t="str">
        <f t="shared" si="3"/>
        <v>10-Alfalfa</v>
      </c>
      <c r="B50" s="75" t="str">
        <f t="shared" si="4"/>
        <v>N/A</v>
      </c>
      <c r="D50" s="215" t="str">
        <f t="shared" si="0"/>
        <v>33-Dry Beans</v>
      </c>
      <c r="E50" s="216" t="str">
        <f t="shared" si="1"/>
        <v>-</v>
      </c>
      <c r="F50" s="80" t="str">
        <f t="shared" si="5"/>
        <v>Cheyenne</v>
      </c>
      <c r="H50" s="75" t="str">
        <f t="shared" si="2"/>
        <v>55-Sugar Beets</v>
      </c>
      <c r="I50" s="75" t="str">
        <f t="shared" si="6"/>
        <v>Box Butte</v>
      </c>
      <c r="L50" s="7">
        <v>18</v>
      </c>
      <c r="M50" s="7" t="s">
        <v>23</v>
      </c>
      <c r="N50" s="7" t="s">
        <v>461</v>
      </c>
    </row>
    <row r="51" spans="1:14" x14ac:dyDescent="0.2">
      <c r="A51" s="75" t="str">
        <f t="shared" si="3"/>
        <v>11-Alfalfa</v>
      </c>
      <c r="B51" s="75" t="str">
        <f t="shared" si="4"/>
        <v>N/A</v>
      </c>
      <c r="D51" s="215" t="str">
        <f t="shared" si="0"/>
        <v>34-Grain Sorghum</v>
      </c>
      <c r="E51" s="216" t="str">
        <f t="shared" si="1"/>
        <v>-</v>
      </c>
      <c r="F51" s="80" t="str">
        <f t="shared" si="5"/>
        <v>Jefferson</v>
      </c>
      <c r="H51" s="75" t="str">
        <f t="shared" si="2"/>
        <v>56-Sugar Beets</v>
      </c>
      <c r="I51" s="75" t="str">
        <f t="shared" si="6"/>
        <v>Box Butte</v>
      </c>
      <c r="L51" s="7">
        <v>19</v>
      </c>
      <c r="M51" s="7" t="s">
        <v>23</v>
      </c>
      <c r="N51" s="7" t="s">
        <v>466</v>
      </c>
    </row>
    <row r="52" spans="1:14" x14ac:dyDescent="0.2">
      <c r="A52" s="75" t="str">
        <f t="shared" si="3"/>
        <v>12-Alfalfa</v>
      </c>
      <c r="B52" s="75" t="str">
        <f t="shared" si="4"/>
        <v>N/A</v>
      </c>
      <c r="D52" s="215" t="str">
        <f t="shared" si="0"/>
        <v>35-Grain Sorghum</v>
      </c>
      <c r="E52" s="216" t="str">
        <f t="shared" si="1"/>
        <v>-</v>
      </c>
      <c r="F52" s="80" t="str">
        <f t="shared" si="5"/>
        <v>Jefferson</v>
      </c>
      <c r="H52" s="75" t="str">
        <f t="shared" si="2"/>
        <v>57-Sugar Beets</v>
      </c>
      <c r="I52" s="75" t="str">
        <f t="shared" si="6"/>
        <v>Box Butte</v>
      </c>
      <c r="L52" s="7">
        <v>20</v>
      </c>
      <c r="M52" s="7" t="s">
        <v>23</v>
      </c>
      <c r="N52" s="7" t="s">
        <v>461</v>
      </c>
    </row>
    <row r="53" spans="1:14" x14ac:dyDescent="0.2">
      <c r="A53" s="75" t="str">
        <f t="shared" si="3"/>
        <v>13-Alfalfa</v>
      </c>
      <c r="B53" s="75" t="str">
        <f t="shared" si="4"/>
        <v>N/A</v>
      </c>
      <c r="D53" s="215" t="str">
        <f t="shared" si="0"/>
        <v>36-Grain Sorghum</v>
      </c>
      <c r="E53" s="216" t="str">
        <f t="shared" si="1"/>
        <v>-</v>
      </c>
      <c r="F53" s="80" t="str">
        <f t="shared" si="5"/>
        <v>Jefferson</v>
      </c>
      <c r="H53" s="75" t="str">
        <f t="shared" si="2"/>
        <v>58-Sunflower</v>
      </c>
      <c r="I53" s="75" t="str">
        <f t="shared" si="6"/>
        <v>Perkins</v>
      </c>
      <c r="L53" s="7">
        <v>21</v>
      </c>
      <c r="M53" s="7" t="s">
        <v>23</v>
      </c>
      <c r="N53" s="7" t="s">
        <v>461</v>
      </c>
    </row>
    <row r="54" spans="1:14" x14ac:dyDescent="0.2">
      <c r="A54" s="75" t="str">
        <f t="shared" si="3"/>
        <v>14-Alfalfa</v>
      </c>
      <c r="B54" s="75" t="str">
        <f t="shared" si="4"/>
        <v>N/A</v>
      </c>
      <c r="D54" s="215" t="str">
        <f t="shared" si="0"/>
        <v>37-Grain Sorghum</v>
      </c>
      <c r="E54" s="216" t="str">
        <f t="shared" si="1"/>
        <v>-</v>
      </c>
      <c r="F54" s="80" t="str">
        <f t="shared" si="5"/>
        <v>Jefferson</v>
      </c>
      <c r="H54" s="75" t="str">
        <f t="shared" si="2"/>
        <v>59-Sunflower</v>
      </c>
      <c r="I54" s="75" t="str">
        <f t="shared" si="6"/>
        <v>Perkins</v>
      </c>
      <c r="L54" s="7">
        <v>22</v>
      </c>
      <c r="M54" s="7" t="s">
        <v>23</v>
      </c>
      <c r="N54" s="7" t="s">
        <v>461</v>
      </c>
    </row>
    <row r="55" spans="1:14" x14ac:dyDescent="0.2">
      <c r="A55" s="75" t="str">
        <f t="shared" si="3"/>
        <v>15-Corn</v>
      </c>
      <c r="B55" s="75" t="str">
        <f t="shared" si="4"/>
        <v>Buffalo</v>
      </c>
      <c r="D55" s="215" t="str">
        <f t="shared" si="0"/>
        <v>38-Grass</v>
      </c>
      <c r="E55" s="216" t="str">
        <f t="shared" si="1"/>
        <v>-</v>
      </c>
      <c r="F55" s="80" t="str">
        <f t="shared" si="5"/>
        <v>N/A</v>
      </c>
      <c r="H55" s="75" t="str">
        <f t="shared" si="2"/>
        <v>60-Sunflower</v>
      </c>
      <c r="I55" s="75" t="str">
        <f t="shared" si="6"/>
        <v>Perkins</v>
      </c>
      <c r="L55" s="7">
        <v>23</v>
      </c>
      <c r="M55" s="7" t="s">
        <v>23</v>
      </c>
      <c r="N55" s="7" t="s">
        <v>461</v>
      </c>
    </row>
    <row r="56" spans="1:14" x14ac:dyDescent="0.2">
      <c r="A56" s="75" t="str">
        <f t="shared" si="3"/>
        <v>16-Corn</v>
      </c>
      <c r="B56" s="75" t="str">
        <f t="shared" si="4"/>
        <v>Buffalo</v>
      </c>
      <c r="D56" s="215" t="str">
        <f t="shared" si="0"/>
        <v>39-Grass Hay</v>
      </c>
      <c r="E56" s="216" t="str">
        <f t="shared" si="1"/>
        <v>-</v>
      </c>
      <c r="F56" s="80" t="str">
        <f t="shared" si="5"/>
        <v>N/A</v>
      </c>
      <c r="H56" s="75" t="str">
        <f t="shared" si="2"/>
        <v>61-Wheat</v>
      </c>
      <c r="I56" s="75" t="str">
        <f t="shared" si="6"/>
        <v>Keith</v>
      </c>
      <c r="L56" s="7">
        <v>24</v>
      </c>
      <c r="M56" s="7" t="s">
        <v>23</v>
      </c>
      <c r="N56" s="7" t="s">
        <v>461</v>
      </c>
    </row>
    <row r="57" spans="1:14" x14ac:dyDescent="0.2">
      <c r="A57" s="75" t="str">
        <f t="shared" si="3"/>
        <v>17-Corn</v>
      </c>
      <c r="B57" s="75" t="str">
        <f t="shared" si="4"/>
        <v>Buffalo</v>
      </c>
      <c r="D57" s="215" t="str">
        <f t="shared" si="0"/>
        <v>40-Millet</v>
      </c>
      <c r="E57" s="216" t="str">
        <f t="shared" si="1"/>
        <v>-</v>
      </c>
      <c r="F57" s="80" t="str">
        <f t="shared" si="5"/>
        <v>Cheyenne</v>
      </c>
      <c r="H57" s="75" t="str">
        <f t="shared" si="2"/>
        <v>62-Wheat</v>
      </c>
      <c r="I57" s="75" t="str">
        <f t="shared" si="6"/>
        <v>Keith</v>
      </c>
      <c r="L57" s="7">
        <v>25</v>
      </c>
      <c r="M57" s="7" t="s">
        <v>23</v>
      </c>
      <c r="N57" s="7" t="s">
        <v>461</v>
      </c>
    </row>
    <row r="58" spans="1:14" x14ac:dyDescent="0.2">
      <c r="A58" s="75" t="str">
        <f t="shared" si="3"/>
        <v>18-Corn</v>
      </c>
      <c r="B58" s="75" t="str">
        <f t="shared" si="4"/>
        <v>Buffalo</v>
      </c>
      <c r="D58" s="215" t="str">
        <f t="shared" si="0"/>
        <v>41-Millet</v>
      </c>
      <c r="E58" s="216" t="str">
        <f t="shared" si="1"/>
        <v>-</v>
      </c>
      <c r="F58" s="80" t="str">
        <f t="shared" si="5"/>
        <v>Cheyenne</v>
      </c>
      <c r="H58" s="75" t="str">
        <f t="shared" si="2"/>
        <v>63-Wheat</v>
      </c>
      <c r="I58" s="75" t="str">
        <f t="shared" si="6"/>
        <v>Keith</v>
      </c>
      <c r="L58" s="7">
        <v>26</v>
      </c>
      <c r="M58" s="7" t="s">
        <v>23</v>
      </c>
      <c r="N58" s="7" t="s">
        <v>461</v>
      </c>
    </row>
    <row r="59" spans="1:14" x14ac:dyDescent="0.2">
      <c r="A59" s="75" t="str">
        <f t="shared" si="3"/>
        <v>19-Corn</v>
      </c>
      <c r="B59" s="75" t="str">
        <f t="shared" si="4"/>
        <v>Perkins</v>
      </c>
      <c r="D59" s="215" t="str">
        <f t="shared" si="0"/>
        <v>42-Oats</v>
      </c>
      <c r="E59" s="216" t="str">
        <f t="shared" si="1"/>
        <v>-</v>
      </c>
      <c r="F59" s="80" t="str">
        <f t="shared" si="5"/>
        <v>Burt</v>
      </c>
      <c r="H59" s="75" t="str">
        <f t="shared" si="2"/>
        <v>64-Wheat</v>
      </c>
      <c r="I59" s="75" t="str">
        <f t="shared" si="6"/>
        <v>Keith</v>
      </c>
      <c r="L59" s="7">
        <v>27</v>
      </c>
      <c r="M59" s="7" t="s">
        <v>23</v>
      </c>
      <c r="N59" s="7" t="s">
        <v>461</v>
      </c>
    </row>
    <row r="60" spans="1:14" x14ac:dyDescent="0.2">
      <c r="A60" s="75" t="str">
        <f t="shared" si="3"/>
        <v>20-Corn</v>
      </c>
      <c r="B60" s="75" t="str">
        <f t="shared" si="4"/>
        <v>Buffalo</v>
      </c>
      <c r="D60" s="215" t="str">
        <f t="shared" si="0"/>
        <v>43-Pasture</v>
      </c>
      <c r="E60" s="216" t="str">
        <f t="shared" si="1"/>
        <v>-</v>
      </c>
      <c r="F60" s="80" t="str">
        <f t="shared" si="5"/>
        <v>N/A</v>
      </c>
      <c r="H60" s="75" t="str">
        <f t="shared" si="2"/>
        <v>65-Wheat</v>
      </c>
      <c r="I60" s="75" t="str">
        <f t="shared" si="6"/>
        <v>Keith</v>
      </c>
      <c r="L60" s="7">
        <v>28</v>
      </c>
      <c r="M60" s="7" t="s">
        <v>23</v>
      </c>
      <c r="N60" s="7" t="s">
        <v>461</v>
      </c>
    </row>
    <row r="61" spans="1:14" x14ac:dyDescent="0.2">
      <c r="A61" s="75" t="str">
        <f t="shared" si="3"/>
        <v>21-Corn</v>
      </c>
      <c r="B61" s="75" t="str">
        <f t="shared" si="4"/>
        <v>Buffalo</v>
      </c>
      <c r="D61" s="215" t="str">
        <f t="shared" si="0"/>
        <v>44-Peas</v>
      </c>
      <c r="E61" s="216" t="str">
        <f t="shared" si="1"/>
        <v>-</v>
      </c>
      <c r="F61" s="80" t="str">
        <f t="shared" si="5"/>
        <v>N/A</v>
      </c>
      <c r="H61" s="75" t="str">
        <f t="shared" si="2"/>
        <v>66-Wheat</v>
      </c>
      <c r="I61" s="75" t="str">
        <f t="shared" si="6"/>
        <v>Keith</v>
      </c>
      <c r="L61" s="7">
        <v>29</v>
      </c>
      <c r="M61" s="7" t="s">
        <v>23</v>
      </c>
      <c r="N61" s="7" t="s">
        <v>461</v>
      </c>
    </row>
    <row r="62" spans="1:14" x14ac:dyDescent="0.2">
      <c r="A62" s="75" t="str">
        <f t="shared" si="3"/>
        <v>22-Corn</v>
      </c>
      <c r="B62" s="75" t="str">
        <f t="shared" si="4"/>
        <v>Buffalo</v>
      </c>
      <c r="D62" s="215" t="str">
        <f t="shared" si="0"/>
        <v>45-Sorghum-Sudan</v>
      </c>
      <c r="E62" s="216" t="str">
        <f t="shared" si="1"/>
        <v>-</v>
      </c>
      <c r="F62" s="80" t="str">
        <f t="shared" si="5"/>
        <v>N/A</v>
      </c>
      <c r="H62" s="75" t="str">
        <f t="shared" si="2"/>
        <v>67-Wheat</v>
      </c>
      <c r="I62" s="75" t="str">
        <f t="shared" si="6"/>
        <v>Keith</v>
      </c>
      <c r="L62" s="7">
        <v>30</v>
      </c>
      <c r="M62" s="7" t="s">
        <v>518</v>
      </c>
      <c r="N62" s="7" t="s">
        <v>462</v>
      </c>
    </row>
    <row r="63" spans="1:14" x14ac:dyDescent="0.2">
      <c r="A63" s="75" t="str">
        <f t="shared" si="3"/>
        <v>23-Corn</v>
      </c>
      <c r="B63" s="75" t="str">
        <f t="shared" si="4"/>
        <v>Buffalo</v>
      </c>
      <c r="L63" s="7">
        <v>31</v>
      </c>
      <c r="M63" s="7" t="s">
        <v>518</v>
      </c>
      <c r="N63" s="7" t="s">
        <v>462</v>
      </c>
    </row>
    <row r="64" spans="1:14" x14ac:dyDescent="0.2">
      <c r="L64" s="7">
        <v>32</v>
      </c>
      <c r="M64" s="7" t="s">
        <v>518</v>
      </c>
      <c r="N64" s="7" t="s">
        <v>462</v>
      </c>
    </row>
    <row r="65" spans="12:14" x14ac:dyDescent="0.2">
      <c r="L65" s="7">
        <v>33</v>
      </c>
      <c r="M65" s="7" t="s">
        <v>518</v>
      </c>
      <c r="N65" s="7" t="s">
        <v>462</v>
      </c>
    </row>
    <row r="66" spans="12:14" x14ac:dyDescent="0.2">
      <c r="L66" s="7">
        <v>34</v>
      </c>
      <c r="M66" s="7" t="s">
        <v>519</v>
      </c>
      <c r="N66" s="7" t="s">
        <v>463</v>
      </c>
    </row>
    <row r="67" spans="12:14" x14ac:dyDescent="0.2">
      <c r="L67" s="7">
        <v>35</v>
      </c>
      <c r="M67" s="7" t="s">
        <v>519</v>
      </c>
      <c r="N67" s="7" t="s">
        <v>463</v>
      </c>
    </row>
    <row r="68" spans="12:14" x14ac:dyDescent="0.2">
      <c r="L68" s="7">
        <v>36</v>
      </c>
      <c r="M68" s="7" t="s">
        <v>519</v>
      </c>
      <c r="N68" s="7" t="s">
        <v>463</v>
      </c>
    </row>
    <row r="69" spans="12:14" x14ac:dyDescent="0.2">
      <c r="L69" s="7">
        <v>37</v>
      </c>
      <c r="M69" s="7" t="s">
        <v>519</v>
      </c>
      <c r="N69" s="7" t="s">
        <v>463</v>
      </c>
    </row>
    <row r="70" spans="12:14" x14ac:dyDescent="0.2">
      <c r="L70" s="7">
        <v>38</v>
      </c>
      <c r="M70" s="7" t="s">
        <v>520</v>
      </c>
      <c r="N70" s="7" t="s">
        <v>460</v>
      </c>
    </row>
    <row r="71" spans="12:14" x14ac:dyDescent="0.2">
      <c r="L71" s="7">
        <v>39</v>
      </c>
      <c r="M71" s="7" t="s">
        <v>521</v>
      </c>
      <c r="N71" s="7" t="s">
        <v>460</v>
      </c>
    </row>
    <row r="72" spans="12:14" x14ac:dyDescent="0.2">
      <c r="L72" s="7">
        <v>40</v>
      </c>
      <c r="M72" s="7" t="s">
        <v>39</v>
      </c>
      <c r="N72" s="7" t="s">
        <v>462</v>
      </c>
    </row>
    <row r="73" spans="12:14" x14ac:dyDescent="0.2">
      <c r="L73" s="7">
        <v>41</v>
      </c>
      <c r="M73" s="7" t="s">
        <v>39</v>
      </c>
      <c r="N73" s="7" t="s">
        <v>462</v>
      </c>
    </row>
    <row r="74" spans="12:14" x14ac:dyDescent="0.2">
      <c r="L74" s="7">
        <v>42</v>
      </c>
      <c r="M74" s="7" t="s">
        <v>42</v>
      </c>
      <c r="N74" s="7" t="s">
        <v>464</v>
      </c>
    </row>
    <row r="75" spans="12:14" x14ac:dyDescent="0.2">
      <c r="L75" s="7">
        <v>43</v>
      </c>
      <c r="M75" s="7" t="s">
        <v>522</v>
      </c>
      <c r="N75" s="7" t="s">
        <v>460</v>
      </c>
    </row>
    <row r="76" spans="12:14" x14ac:dyDescent="0.2">
      <c r="L76" s="7">
        <v>44</v>
      </c>
      <c r="M76" s="7" t="s">
        <v>494</v>
      </c>
      <c r="N76" s="7" t="s">
        <v>460</v>
      </c>
    </row>
    <row r="77" spans="12:14" x14ac:dyDescent="0.2">
      <c r="L77" s="7">
        <v>45</v>
      </c>
      <c r="M77" s="7" t="s">
        <v>523</v>
      </c>
      <c r="N77" s="7" t="s">
        <v>460</v>
      </c>
    </row>
    <row r="78" spans="12:14" x14ac:dyDescent="0.2">
      <c r="L78" s="7">
        <v>46</v>
      </c>
      <c r="M78" s="7" t="s">
        <v>524</v>
      </c>
      <c r="N78" s="7" t="s">
        <v>461</v>
      </c>
    </row>
    <row r="79" spans="12:14" x14ac:dyDescent="0.2">
      <c r="L79" s="7">
        <v>47</v>
      </c>
      <c r="M79" s="7" t="s">
        <v>524</v>
      </c>
      <c r="N79" s="7" t="s">
        <v>461</v>
      </c>
    </row>
    <row r="80" spans="12:14" x14ac:dyDescent="0.2">
      <c r="L80" s="7">
        <v>48</v>
      </c>
      <c r="M80" s="7" t="s">
        <v>524</v>
      </c>
      <c r="N80" s="7" t="s">
        <v>461</v>
      </c>
    </row>
    <row r="81" spans="12:14" x14ac:dyDescent="0.2">
      <c r="L81" s="7">
        <v>49</v>
      </c>
      <c r="M81" s="7" t="s">
        <v>524</v>
      </c>
      <c r="N81" s="7" t="s">
        <v>461</v>
      </c>
    </row>
    <row r="82" spans="12:14" x14ac:dyDescent="0.2">
      <c r="L82" s="7">
        <v>50</v>
      </c>
      <c r="M82" s="7" t="s">
        <v>524</v>
      </c>
      <c r="N82" s="7" t="s">
        <v>461</v>
      </c>
    </row>
    <row r="83" spans="12:14" x14ac:dyDescent="0.2">
      <c r="L83" s="7">
        <v>51</v>
      </c>
      <c r="M83" s="7" t="s">
        <v>524</v>
      </c>
      <c r="N83" s="7" t="s">
        <v>461</v>
      </c>
    </row>
    <row r="84" spans="12:14" x14ac:dyDescent="0.2">
      <c r="L84" s="7">
        <v>52</v>
      </c>
      <c r="M84" s="7" t="s">
        <v>524</v>
      </c>
      <c r="N84" s="7" t="s">
        <v>461</v>
      </c>
    </row>
    <row r="85" spans="12:14" x14ac:dyDescent="0.2">
      <c r="L85" s="7">
        <v>53</v>
      </c>
      <c r="M85" s="7" t="s">
        <v>524</v>
      </c>
      <c r="N85" s="7" t="s">
        <v>461</v>
      </c>
    </row>
    <row r="86" spans="12:14" x14ac:dyDescent="0.2">
      <c r="L86" s="7">
        <v>54</v>
      </c>
      <c r="M86" s="7" t="s">
        <v>450</v>
      </c>
      <c r="N86" s="7" t="s">
        <v>465</v>
      </c>
    </row>
    <row r="87" spans="12:14" x14ac:dyDescent="0.2">
      <c r="L87" s="7">
        <v>55</v>
      </c>
      <c r="M87" s="7" t="s">
        <v>450</v>
      </c>
      <c r="N87" s="7" t="s">
        <v>465</v>
      </c>
    </row>
    <row r="88" spans="12:14" x14ac:dyDescent="0.2">
      <c r="L88" s="7">
        <v>56</v>
      </c>
      <c r="M88" s="7" t="s">
        <v>450</v>
      </c>
      <c r="N88" s="7" t="s">
        <v>465</v>
      </c>
    </row>
    <row r="89" spans="12:14" x14ac:dyDescent="0.2">
      <c r="L89" s="7">
        <v>57</v>
      </c>
      <c r="M89" s="7" t="s">
        <v>450</v>
      </c>
      <c r="N89" s="7" t="s">
        <v>465</v>
      </c>
    </row>
    <row r="90" spans="12:14" x14ac:dyDescent="0.2">
      <c r="L90" s="7">
        <v>58</v>
      </c>
      <c r="M90" s="7" t="s">
        <v>53</v>
      </c>
      <c r="N90" s="7" t="s">
        <v>466</v>
      </c>
    </row>
    <row r="91" spans="12:14" x14ac:dyDescent="0.2">
      <c r="L91" s="7">
        <v>59</v>
      </c>
      <c r="M91" s="7" t="s">
        <v>53</v>
      </c>
      <c r="N91" s="7" t="s">
        <v>466</v>
      </c>
    </row>
    <row r="92" spans="12:14" x14ac:dyDescent="0.2">
      <c r="L92" s="7">
        <v>60</v>
      </c>
      <c r="M92" s="7" t="s">
        <v>53</v>
      </c>
      <c r="N92" s="7" t="s">
        <v>466</v>
      </c>
    </row>
    <row r="93" spans="12:14" x14ac:dyDescent="0.2">
      <c r="L93" s="7">
        <v>61</v>
      </c>
      <c r="M93" s="7" t="s">
        <v>525</v>
      </c>
      <c r="N93" s="7" t="s">
        <v>467</v>
      </c>
    </row>
    <row r="94" spans="12:14" x14ac:dyDescent="0.2">
      <c r="L94" s="7">
        <v>62</v>
      </c>
      <c r="M94" s="7" t="s">
        <v>525</v>
      </c>
      <c r="N94" s="7" t="s">
        <v>467</v>
      </c>
    </row>
    <row r="95" spans="12:14" x14ac:dyDescent="0.2">
      <c r="L95" s="7">
        <v>63</v>
      </c>
      <c r="M95" s="7" t="s">
        <v>525</v>
      </c>
      <c r="N95" s="7" t="s">
        <v>467</v>
      </c>
    </row>
    <row r="96" spans="12:14" x14ac:dyDescent="0.2">
      <c r="L96" s="7">
        <v>64</v>
      </c>
      <c r="M96" s="7" t="s">
        <v>525</v>
      </c>
      <c r="N96" s="7" t="s">
        <v>467</v>
      </c>
    </row>
    <row r="97" spans="12:14" x14ac:dyDescent="0.2">
      <c r="L97" s="7">
        <v>65</v>
      </c>
      <c r="M97" s="7" t="s">
        <v>525</v>
      </c>
      <c r="N97" s="7" t="s">
        <v>467</v>
      </c>
    </row>
    <row r="98" spans="12:14" x14ac:dyDescent="0.2">
      <c r="L98" s="7">
        <v>66</v>
      </c>
      <c r="M98" s="7" t="s">
        <v>525</v>
      </c>
      <c r="N98" s="7" t="s">
        <v>467</v>
      </c>
    </row>
    <row r="99" spans="12:14" x14ac:dyDescent="0.2">
      <c r="L99" s="7">
        <v>67</v>
      </c>
      <c r="M99" s="7" t="s">
        <v>525</v>
      </c>
      <c r="N99" s="7" t="s">
        <v>467</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96</v>
      </c>
      <c r="B1" s="31" t="s">
        <v>94</v>
      </c>
      <c r="C1" s="32" t="s">
        <v>95</v>
      </c>
      <c r="D1" s="32" t="s">
        <v>91</v>
      </c>
      <c r="E1" s="33" t="s">
        <v>337</v>
      </c>
      <c r="F1" s="32" t="s">
        <v>92</v>
      </c>
      <c r="G1" s="32" t="s">
        <v>260</v>
      </c>
      <c r="H1" s="34" t="s">
        <v>338</v>
      </c>
      <c r="I1" s="33" t="s">
        <v>339</v>
      </c>
      <c r="J1" s="33" t="s">
        <v>261</v>
      </c>
      <c r="K1" s="33" t="s">
        <v>340</v>
      </c>
      <c r="L1" s="33" t="s">
        <v>341</v>
      </c>
      <c r="M1" s="33" t="s">
        <v>262</v>
      </c>
      <c r="N1" s="33" t="s">
        <v>344</v>
      </c>
      <c r="O1" s="33" t="s">
        <v>345</v>
      </c>
      <c r="P1" s="33" t="s">
        <v>346</v>
      </c>
      <c r="R1" s="36" t="s">
        <v>98</v>
      </c>
      <c r="S1" s="37" t="s">
        <v>99</v>
      </c>
      <c r="T1" s="37" t="s">
        <v>100</v>
      </c>
      <c r="U1" s="37" t="s">
        <v>101</v>
      </c>
      <c r="V1" s="38" t="s">
        <v>102</v>
      </c>
      <c r="X1" s="1" t="s">
        <v>198</v>
      </c>
      <c r="Y1" s="1" t="s">
        <v>98</v>
      </c>
      <c r="Z1" s="1" t="s">
        <v>199</v>
      </c>
      <c r="AA1" s="1" t="s">
        <v>200</v>
      </c>
      <c r="AB1" s="1" t="s">
        <v>201</v>
      </c>
    </row>
    <row r="2" spans="1:28" ht="15.75" x14ac:dyDescent="0.25">
      <c r="A2" s="24" t="s">
        <v>415</v>
      </c>
      <c r="B2" s="25" t="s">
        <v>264</v>
      </c>
      <c r="C2" s="26" t="s">
        <v>266</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103</v>
      </c>
      <c r="S2" s="42" t="s">
        <v>104</v>
      </c>
      <c r="T2" s="43" t="s">
        <v>105</v>
      </c>
      <c r="U2" s="43" t="s">
        <v>106</v>
      </c>
      <c r="V2" s="44">
        <v>12000</v>
      </c>
      <c r="X2" s="1" t="s">
        <v>202</v>
      </c>
      <c r="Y2" s="1" t="s">
        <v>203</v>
      </c>
      <c r="Z2" s="1" t="s">
        <v>204</v>
      </c>
      <c r="AA2" s="1" t="s">
        <v>205</v>
      </c>
      <c r="AB2" s="1" t="s">
        <v>206</v>
      </c>
    </row>
    <row r="3" spans="1:28" ht="15.75" x14ac:dyDescent="0.25">
      <c r="A3" s="24" t="s">
        <v>416</v>
      </c>
      <c r="B3" s="25" t="s">
        <v>103</v>
      </c>
      <c r="C3" s="26" t="s">
        <v>266</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107</v>
      </c>
      <c r="S3" s="45" t="s">
        <v>104</v>
      </c>
      <c r="T3" s="46" t="s">
        <v>108</v>
      </c>
      <c r="U3" s="46" t="s">
        <v>106</v>
      </c>
      <c r="V3" s="47">
        <v>16000</v>
      </c>
      <c r="X3" s="1" t="s">
        <v>202</v>
      </c>
      <c r="Y3" s="1" t="s">
        <v>207</v>
      </c>
      <c r="Z3" s="1" t="s">
        <v>208</v>
      </c>
      <c r="AA3" s="1" t="s">
        <v>209</v>
      </c>
      <c r="AB3" s="1" t="s">
        <v>210</v>
      </c>
    </row>
    <row r="4" spans="1:28" ht="15.75" x14ac:dyDescent="0.25">
      <c r="A4" s="24" t="s">
        <v>258</v>
      </c>
      <c r="B4" s="25" t="s">
        <v>265</v>
      </c>
      <c r="C4" s="26" t="s">
        <v>263</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129</v>
      </c>
      <c r="S4" s="45" t="s">
        <v>110</v>
      </c>
      <c r="T4" s="46" t="s">
        <v>130</v>
      </c>
      <c r="U4" s="46" t="s">
        <v>131</v>
      </c>
      <c r="V4" s="47">
        <v>3000</v>
      </c>
      <c r="X4" s="1" t="s">
        <v>202</v>
      </c>
      <c r="Y4" s="1" t="s">
        <v>211</v>
      </c>
      <c r="Z4" s="1" t="s">
        <v>212</v>
      </c>
      <c r="AA4" s="1" t="s">
        <v>213</v>
      </c>
      <c r="AB4" s="1" t="s">
        <v>214</v>
      </c>
    </row>
    <row r="5" spans="1:28" ht="15.75" x14ac:dyDescent="0.25">
      <c r="A5" s="24" t="s">
        <v>304</v>
      </c>
      <c r="B5" s="25" t="s">
        <v>103</v>
      </c>
      <c r="C5" s="26" t="s">
        <v>387</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134</v>
      </c>
      <c r="S5" s="45" t="s">
        <v>110</v>
      </c>
      <c r="T5" s="46" t="s">
        <v>135</v>
      </c>
      <c r="U5" s="46" t="s">
        <v>112</v>
      </c>
      <c r="V5" s="47">
        <v>3000</v>
      </c>
      <c r="X5" s="1" t="s">
        <v>215</v>
      </c>
      <c r="Y5" s="1" t="s">
        <v>216</v>
      </c>
      <c r="Z5" s="1" t="s">
        <v>217</v>
      </c>
      <c r="AA5" s="1" t="s">
        <v>218</v>
      </c>
      <c r="AB5" s="1" t="s">
        <v>219</v>
      </c>
    </row>
    <row r="6" spans="1:28" ht="15.75" x14ac:dyDescent="0.25">
      <c r="A6" s="24" t="s">
        <v>306</v>
      </c>
      <c r="B6" s="25" t="s">
        <v>259</v>
      </c>
      <c r="C6" s="26" t="s">
        <v>305</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154</v>
      </c>
      <c r="S6" s="45" t="s">
        <v>110</v>
      </c>
      <c r="T6" s="46" t="s">
        <v>155</v>
      </c>
      <c r="U6" s="46" t="s">
        <v>106</v>
      </c>
      <c r="V6" s="47">
        <v>4000</v>
      </c>
      <c r="X6" s="1" t="s">
        <v>215</v>
      </c>
      <c r="Y6" s="1" t="s">
        <v>226</v>
      </c>
      <c r="Z6" s="1" t="s">
        <v>227</v>
      </c>
      <c r="AA6" s="1" t="s">
        <v>228</v>
      </c>
      <c r="AB6" s="1"/>
    </row>
    <row r="7" spans="1:28" ht="15.75" x14ac:dyDescent="0.25">
      <c r="A7" s="24" t="s">
        <v>359</v>
      </c>
      <c r="B7" s="25" t="s">
        <v>103</v>
      </c>
      <c r="C7" s="26" t="s">
        <v>305</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183</v>
      </c>
      <c r="S7" s="45" t="s">
        <v>110</v>
      </c>
      <c r="T7" s="46" t="s">
        <v>184</v>
      </c>
      <c r="U7" s="46" t="s">
        <v>106</v>
      </c>
      <c r="V7" s="47">
        <v>3000</v>
      </c>
      <c r="X7" s="1" t="s">
        <v>236</v>
      </c>
      <c r="Y7" s="1" t="s">
        <v>237</v>
      </c>
      <c r="Z7" s="1" t="s">
        <v>238</v>
      </c>
      <c r="AA7" s="1" t="s">
        <v>239</v>
      </c>
      <c r="AB7" s="1" t="s">
        <v>240</v>
      </c>
    </row>
    <row r="8" spans="1:28" ht="15.75" x14ac:dyDescent="0.25">
      <c r="A8" s="24" t="s">
        <v>302</v>
      </c>
      <c r="B8" s="25" t="s">
        <v>417</v>
      </c>
      <c r="C8" s="26" t="s">
        <v>303</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259</v>
      </c>
      <c r="S8" s="1" t="s">
        <v>186</v>
      </c>
      <c r="T8" s="2">
        <v>0.02</v>
      </c>
      <c r="U8" s="2">
        <v>1.5</v>
      </c>
      <c r="V8" s="4"/>
    </row>
    <row r="9" spans="1:28" x14ac:dyDescent="0.2">
      <c r="A9" s="24" t="s">
        <v>405</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414</v>
      </c>
      <c r="B1" s="100" t="s">
        <v>4</v>
      </c>
      <c r="C1" s="101" t="s">
        <v>5</v>
      </c>
      <c r="D1" s="101" t="s">
        <v>59</v>
      </c>
      <c r="E1" s="101" t="s">
        <v>60</v>
      </c>
      <c r="F1" s="101" t="s">
        <v>61</v>
      </c>
      <c r="G1" s="101" t="s">
        <v>63</v>
      </c>
      <c r="H1" s="102" t="s">
        <v>62</v>
      </c>
    </row>
    <row r="2" spans="1:9" ht="12.75" customHeight="1" x14ac:dyDescent="0.2">
      <c r="A2" s="67">
        <v>1</v>
      </c>
      <c r="B2" s="87" t="s">
        <v>6</v>
      </c>
      <c r="C2" s="88" t="s">
        <v>7</v>
      </c>
      <c r="D2" s="89">
        <v>2.8</v>
      </c>
      <c r="E2" s="90" t="s">
        <v>389</v>
      </c>
      <c r="F2" s="88" t="s">
        <v>389</v>
      </c>
      <c r="G2" s="92">
        <v>1</v>
      </c>
      <c r="H2" s="93">
        <f t="shared" ref="H2:H33" si="0">IF(G2=0,0,D2/G2)</f>
        <v>2.8</v>
      </c>
    </row>
    <row r="3" spans="1:9" ht="12.75" customHeight="1" x14ac:dyDescent="0.2">
      <c r="A3" s="67">
        <v>2</v>
      </c>
      <c r="B3" s="87" t="s">
        <v>8</v>
      </c>
      <c r="C3" s="88" t="s">
        <v>7</v>
      </c>
      <c r="D3" s="89">
        <v>2.85</v>
      </c>
      <c r="E3" s="90" t="s">
        <v>389</v>
      </c>
      <c r="F3" s="88" t="s">
        <v>389</v>
      </c>
      <c r="G3" s="92">
        <v>1</v>
      </c>
      <c r="H3" s="94">
        <f t="shared" si="0"/>
        <v>2.85</v>
      </c>
      <c r="I3" s="69"/>
    </row>
    <row r="4" spans="1:9" ht="12.75" customHeight="1" x14ac:dyDescent="0.2">
      <c r="A4" s="67">
        <v>3</v>
      </c>
      <c r="B4" s="97" t="s">
        <v>9</v>
      </c>
      <c r="C4" s="96" t="s">
        <v>7</v>
      </c>
      <c r="D4" s="95">
        <v>0.28000000000000003</v>
      </c>
      <c r="E4" s="96" t="s">
        <v>390</v>
      </c>
      <c r="F4" s="96" t="s">
        <v>390</v>
      </c>
      <c r="G4" s="92">
        <v>1</v>
      </c>
      <c r="H4" s="93">
        <f t="shared" si="0"/>
        <v>0.28000000000000003</v>
      </c>
      <c r="I4" s="69"/>
    </row>
    <row r="5" spans="1:9" ht="12.75" customHeight="1" x14ac:dyDescent="0.2">
      <c r="A5" s="67">
        <v>4</v>
      </c>
      <c r="B5" s="87" t="s">
        <v>10</v>
      </c>
      <c r="C5" s="88" t="s">
        <v>11</v>
      </c>
      <c r="D5" s="95">
        <v>15</v>
      </c>
      <c r="E5" s="96" t="s">
        <v>389</v>
      </c>
      <c r="F5" s="88" t="s">
        <v>392</v>
      </c>
      <c r="G5" s="92">
        <v>8</v>
      </c>
      <c r="H5" s="93">
        <f t="shared" si="0"/>
        <v>1.875</v>
      </c>
      <c r="I5" s="69"/>
    </row>
    <row r="6" spans="1:9" ht="12.75" customHeight="1" x14ac:dyDescent="0.2">
      <c r="A6" s="67">
        <v>5</v>
      </c>
      <c r="B6" s="87" t="s">
        <v>12</v>
      </c>
      <c r="C6" s="88" t="s">
        <v>11</v>
      </c>
      <c r="D6" s="95">
        <v>20.5</v>
      </c>
      <c r="E6" s="96" t="s">
        <v>389</v>
      </c>
      <c r="F6" s="88" t="s">
        <v>392</v>
      </c>
      <c r="G6" s="92">
        <v>8</v>
      </c>
      <c r="H6" s="94">
        <f t="shared" si="0"/>
        <v>2.5625</v>
      </c>
      <c r="I6" s="69"/>
    </row>
    <row r="7" spans="1:9" ht="12.75" customHeight="1" x14ac:dyDescent="0.2">
      <c r="A7" s="67">
        <v>6</v>
      </c>
      <c r="B7" s="87" t="s">
        <v>439</v>
      </c>
      <c r="C7" s="88" t="s">
        <v>470</v>
      </c>
      <c r="D7" s="89">
        <v>0.35</v>
      </c>
      <c r="E7" s="90" t="s">
        <v>390</v>
      </c>
      <c r="F7" s="91" t="s">
        <v>390</v>
      </c>
      <c r="G7" s="92">
        <v>1</v>
      </c>
      <c r="H7" s="93">
        <f t="shared" si="0"/>
        <v>0.35</v>
      </c>
      <c r="I7" s="69"/>
    </row>
    <row r="8" spans="1:9" ht="12.75" customHeight="1" x14ac:dyDescent="0.2">
      <c r="A8" s="67">
        <v>7</v>
      </c>
      <c r="B8" s="87" t="s">
        <v>13</v>
      </c>
      <c r="C8" s="88" t="s">
        <v>7</v>
      </c>
      <c r="D8" s="89">
        <v>1.4</v>
      </c>
      <c r="E8" s="90" t="s">
        <v>389</v>
      </c>
      <c r="F8" s="91" t="s">
        <v>396</v>
      </c>
      <c r="G8" s="92">
        <v>3</v>
      </c>
      <c r="H8" s="94">
        <f t="shared" si="0"/>
        <v>0.46666666666666662</v>
      </c>
      <c r="I8" s="69"/>
    </row>
    <row r="9" spans="1:9" ht="12.75" customHeight="1" x14ac:dyDescent="0.2">
      <c r="A9" s="67">
        <v>8</v>
      </c>
      <c r="B9" s="97" t="s">
        <v>398</v>
      </c>
      <c r="C9" s="96" t="s">
        <v>7</v>
      </c>
      <c r="D9" s="95">
        <v>0.47</v>
      </c>
      <c r="E9" s="96" t="s">
        <v>396</v>
      </c>
      <c r="F9" s="96" t="s">
        <v>396</v>
      </c>
      <c r="G9" s="92">
        <v>1</v>
      </c>
      <c r="H9" s="93">
        <f t="shared" si="0"/>
        <v>0.47</v>
      </c>
      <c r="I9" s="69"/>
    </row>
    <row r="10" spans="1:9" ht="12.75" customHeight="1" x14ac:dyDescent="0.2">
      <c r="A10" s="67">
        <v>9</v>
      </c>
      <c r="B10" s="87" t="s">
        <v>548</v>
      </c>
      <c r="C10" s="88" t="s">
        <v>470</v>
      </c>
      <c r="D10" s="89">
        <v>1.65</v>
      </c>
      <c r="E10" s="90" t="s">
        <v>389</v>
      </c>
      <c r="F10" s="88" t="s">
        <v>392</v>
      </c>
      <c r="G10" s="92">
        <v>8</v>
      </c>
      <c r="H10" s="94">
        <f t="shared" si="0"/>
        <v>0.20624999999999999</v>
      </c>
      <c r="I10" s="69"/>
    </row>
    <row r="11" spans="1:9" ht="12.75" customHeight="1" x14ac:dyDescent="0.2">
      <c r="A11" s="67">
        <v>10</v>
      </c>
      <c r="B11" s="97" t="s">
        <v>491</v>
      </c>
      <c r="C11" s="96" t="s">
        <v>7</v>
      </c>
      <c r="D11" s="95">
        <v>0.47</v>
      </c>
      <c r="E11" s="96" t="s">
        <v>396</v>
      </c>
      <c r="F11" s="96" t="s">
        <v>396</v>
      </c>
      <c r="G11" s="92">
        <v>1</v>
      </c>
      <c r="H11" s="94">
        <f t="shared" si="0"/>
        <v>0.47</v>
      </c>
      <c r="I11" s="69"/>
    </row>
    <row r="12" spans="1:9" ht="12.75" customHeight="1" x14ac:dyDescent="0.2">
      <c r="A12" s="67">
        <v>11</v>
      </c>
      <c r="B12" s="97" t="s">
        <v>477</v>
      </c>
      <c r="C12" s="96" t="s">
        <v>7</v>
      </c>
      <c r="D12" s="95">
        <v>0.47</v>
      </c>
      <c r="E12" s="96" t="s">
        <v>396</v>
      </c>
      <c r="F12" s="96" t="s">
        <v>396</v>
      </c>
      <c r="G12" s="92">
        <v>1</v>
      </c>
      <c r="H12" s="93">
        <f t="shared" si="0"/>
        <v>0.47</v>
      </c>
      <c r="I12" s="69"/>
    </row>
    <row r="13" spans="1:9" ht="12.75" customHeight="1" x14ac:dyDescent="0.2">
      <c r="A13" s="67">
        <v>12</v>
      </c>
      <c r="B13" s="87" t="s">
        <v>14</v>
      </c>
      <c r="C13" s="88" t="s">
        <v>7</v>
      </c>
      <c r="D13" s="89">
        <v>0.48</v>
      </c>
      <c r="E13" s="90" t="s">
        <v>67</v>
      </c>
      <c r="F13" s="91" t="s">
        <v>396</v>
      </c>
      <c r="G13" s="92">
        <v>1</v>
      </c>
      <c r="H13" s="94">
        <f t="shared" si="0"/>
        <v>0.48</v>
      </c>
      <c r="I13" s="69"/>
    </row>
    <row r="14" spans="1:9" ht="12.75" customHeight="1" x14ac:dyDescent="0.2">
      <c r="A14" s="67">
        <v>13</v>
      </c>
      <c r="B14" s="87" t="s">
        <v>15</v>
      </c>
      <c r="C14" s="88" t="s">
        <v>7</v>
      </c>
      <c r="D14" s="89">
        <v>0.43</v>
      </c>
      <c r="E14" s="88" t="s">
        <v>67</v>
      </c>
      <c r="F14" s="91" t="s">
        <v>396</v>
      </c>
      <c r="G14" s="92">
        <v>1</v>
      </c>
      <c r="H14" s="93">
        <f t="shared" si="0"/>
        <v>0.43</v>
      </c>
    </row>
    <row r="15" spans="1:9" ht="12.75" customHeight="1" x14ac:dyDescent="0.2">
      <c r="A15" s="67">
        <v>14</v>
      </c>
      <c r="B15" s="87" t="s">
        <v>16</v>
      </c>
      <c r="C15" s="88" t="s">
        <v>11</v>
      </c>
      <c r="D15" s="95">
        <v>21</v>
      </c>
      <c r="E15" s="96" t="s">
        <v>389</v>
      </c>
      <c r="F15" s="88" t="s">
        <v>393</v>
      </c>
      <c r="G15" s="92">
        <v>4</v>
      </c>
      <c r="H15" s="93">
        <f t="shared" si="0"/>
        <v>5.25</v>
      </c>
      <c r="I15" s="69"/>
    </row>
    <row r="16" spans="1:9" ht="12.75" customHeight="1" x14ac:dyDescent="0.2">
      <c r="A16" s="67">
        <v>15</v>
      </c>
      <c r="B16" s="97" t="s">
        <v>535</v>
      </c>
      <c r="C16" s="96" t="s">
        <v>11</v>
      </c>
      <c r="D16" s="95">
        <v>65</v>
      </c>
      <c r="E16" s="96" t="s">
        <v>389</v>
      </c>
      <c r="F16" s="96" t="s">
        <v>393</v>
      </c>
      <c r="G16" s="92">
        <v>4</v>
      </c>
      <c r="H16" s="93">
        <f t="shared" si="0"/>
        <v>16.25</v>
      </c>
      <c r="I16" s="69"/>
    </row>
    <row r="17" spans="1:9" ht="12.75" customHeight="1" x14ac:dyDescent="0.2">
      <c r="A17" s="67">
        <v>16</v>
      </c>
      <c r="B17" s="87" t="s">
        <v>17</v>
      </c>
      <c r="C17" s="88" t="s">
        <v>3</v>
      </c>
      <c r="D17" s="89">
        <v>9.5</v>
      </c>
      <c r="E17" s="90" t="s">
        <v>64</v>
      </c>
      <c r="F17" s="88" t="s">
        <v>64</v>
      </c>
      <c r="G17" s="92">
        <v>1</v>
      </c>
      <c r="H17" s="93">
        <f t="shared" si="0"/>
        <v>9.5</v>
      </c>
      <c r="I17" s="69"/>
    </row>
    <row r="18" spans="1:9" ht="12.75" customHeight="1" x14ac:dyDescent="0.2">
      <c r="A18" s="67">
        <v>17</v>
      </c>
      <c r="B18" s="87" t="s">
        <v>418</v>
      </c>
      <c r="C18" s="88" t="s">
        <v>11</v>
      </c>
      <c r="D18" s="95">
        <v>200</v>
      </c>
      <c r="E18" s="96" t="s">
        <v>393</v>
      </c>
      <c r="F18" s="88" t="s">
        <v>391</v>
      </c>
      <c r="G18" s="92">
        <v>32</v>
      </c>
      <c r="H18" s="94">
        <f t="shared" si="0"/>
        <v>6.25</v>
      </c>
    </row>
    <row r="19" spans="1:9" ht="12.75" customHeight="1" x14ac:dyDescent="0.2">
      <c r="A19" s="67">
        <v>18</v>
      </c>
      <c r="B19" s="97" t="s">
        <v>572</v>
      </c>
      <c r="C19" s="96" t="s">
        <v>19</v>
      </c>
      <c r="D19" s="95">
        <v>9</v>
      </c>
      <c r="E19" s="96" t="s">
        <v>390</v>
      </c>
      <c r="F19" s="96" t="s">
        <v>390</v>
      </c>
      <c r="G19" s="92">
        <v>1</v>
      </c>
      <c r="H19" s="94">
        <f t="shared" si="0"/>
        <v>9</v>
      </c>
      <c r="I19" s="69"/>
    </row>
    <row r="20" spans="1:9" ht="12.75" customHeight="1" x14ac:dyDescent="0.2">
      <c r="A20" s="67">
        <v>19</v>
      </c>
      <c r="B20" s="87" t="s">
        <v>18</v>
      </c>
      <c r="C20" s="88" t="s">
        <v>19</v>
      </c>
      <c r="D20" s="89">
        <v>6</v>
      </c>
      <c r="E20" s="90" t="s">
        <v>390</v>
      </c>
      <c r="F20" s="88" t="s">
        <v>390</v>
      </c>
      <c r="G20" s="92">
        <v>1</v>
      </c>
      <c r="H20" s="93">
        <f t="shared" si="0"/>
        <v>6</v>
      </c>
      <c r="I20" s="69"/>
    </row>
    <row r="21" spans="1:9" ht="12.75" customHeight="1" x14ac:dyDescent="0.2">
      <c r="A21" s="67">
        <v>20</v>
      </c>
      <c r="B21" s="87" t="s">
        <v>432</v>
      </c>
      <c r="C21" s="88" t="s">
        <v>11</v>
      </c>
      <c r="D21" s="95">
        <v>9</v>
      </c>
      <c r="E21" s="96" t="s">
        <v>391</v>
      </c>
      <c r="F21" s="91" t="s">
        <v>391</v>
      </c>
      <c r="G21" s="92">
        <v>1</v>
      </c>
      <c r="H21" s="93">
        <f t="shared" si="0"/>
        <v>9</v>
      </c>
      <c r="I21" s="69"/>
    </row>
    <row r="22" spans="1:9" ht="12.75" customHeight="1" x14ac:dyDescent="0.2">
      <c r="A22" s="67">
        <v>21</v>
      </c>
      <c r="B22" s="97" t="s">
        <v>400</v>
      </c>
      <c r="C22" s="96" t="s">
        <v>21</v>
      </c>
      <c r="D22" s="95">
        <v>85</v>
      </c>
      <c r="E22" s="96" t="s">
        <v>389</v>
      </c>
      <c r="F22" s="96" t="s">
        <v>391</v>
      </c>
      <c r="G22" s="92">
        <v>128</v>
      </c>
      <c r="H22" s="94">
        <f t="shared" si="0"/>
        <v>0.6640625</v>
      </c>
      <c r="I22" s="69"/>
    </row>
    <row r="23" spans="1:9" ht="12.75" customHeight="1" x14ac:dyDescent="0.2">
      <c r="A23" s="67">
        <v>22</v>
      </c>
      <c r="B23" s="87" t="s">
        <v>528</v>
      </c>
      <c r="C23" s="88" t="s">
        <v>11</v>
      </c>
      <c r="D23" s="89">
        <v>15</v>
      </c>
      <c r="E23" s="90" t="s">
        <v>389</v>
      </c>
      <c r="F23" s="88" t="s">
        <v>393</v>
      </c>
      <c r="G23" s="92">
        <v>4</v>
      </c>
      <c r="H23" s="94">
        <f t="shared" si="0"/>
        <v>3.75</v>
      </c>
    </row>
    <row r="24" spans="1:9" ht="12.75" customHeight="1" x14ac:dyDescent="0.2">
      <c r="A24" s="67">
        <v>23</v>
      </c>
      <c r="B24" s="97" t="s">
        <v>476</v>
      </c>
      <c r="C24" s="96" t="s">
        <v>11</v>
      </c>
      <c r="D24" s="95">
        <v>3.5</v>
      </c>
      <c r="E24" s="96" t="s">
        <v>390</v>
      </c>
      <c r="F24" s="96" t="s">
        <v>390</v>
      </c>
      <c r="G24" s="92">
        <v>1</v>
      </c>
      <c r="H24" s="93">
        <f t="shared" si="0"/>
        <v>3.5</v>
      </c>
      <c r="I24" s="69"/>
    </row>
    <row r="25" spans="1:9" ht="12.75" customHeight="1" x14ac:dyDescent="0.2">
      <c r="A25" s="67">
        <v>24</v>
      </c>
      <c r="B25" s="98" t="s">
        <v>433</v>
      </c>
      <c r="C25" s="88" t="s">
        <v>11</v>
      </c>
      <c r="D25" s="95">
        <v>95</v>
      </c>
      <c r="E25" s="96" t="s">
        <v>390</v>
      </c>
      <c r="F25" s="88" t="s">
        <v>391</v>
      </c>
      <c r="G25" s="92">
        <v>16</v>
      </c>
      <c r="H25" s="94">
        <f t="shared" si="0"/>
        <v>5.9375</v>
      </c>
      <c r="I25" s="69"/>
    </row>
    <row r="26" spans="1:9" ht="12.75" customHeight="1" x14ac:dyDescent="0.2">
      <c r="A26" s="67">
        <v>25</v>
      </c>
      <c r="B26" s="97" t="s">
        <v>360</v>
      </c>
      <c r="C26" s="96" t="s">
        <v>11</v>
      </c>
      <c r="D26" s="95">
        <v>6</v>
      </c>
      <c r="E26" s="96" t="s">
        <v>391</v>
      </c>
      <c r="F26" s="96" t="s">
        <v>391</v>
      </c>
      <c r="G26" s="92">
        <v>1</v>
      </c>
      <c r="H26" s="93">
        <f t="shared" si="0"/>
        <v>6</v>
      </c>
      <c r="I26" s="69"/>
    </row>
    <row r="27" spans="1:9" ht="12.75" customHeight="1" x14ac:dyDescent="0.2">
      <c r="A27" s="67">
        <v>26</v>
      </c>
      <c r="B27" s="87" t="s">
        <v>510</v>
      </c>
      <c r="C27" s="88" t="s">
        <v>3</v>
      </c>
      <c r="D27" s="89">
        <v>13</v>
      </c>
      <c r="E27" s="90" t="s">
        <v>65</v>
      </c>
      <c r="F27" s="88" t="s">
        <v>57</v>
      </c>
      <c r="G27" s="92">
        <f>1360/2000</f>
        <v>0.68</v>
      </c>
      <c r="H27" s="94">
        <f t="shared" si="0"/>
        <v>19.117647058823529</v>
      </c>
      <c r="I27" s="69"/>
    </row>
    <row r="28" spans="1:9" ht="12.75" customHeight="1" x14ac:dyDescent="0.2">
      <c r="A28" s="67">
        <v>27</v>
      </c>
      <c r="B28" s="97" t="s">
        <v>399</v>
      </c>
      <c r="C28" s="96" t="s">
        <v>11</v>
      </c>
      <c r="D28" s="95">
        <v>80</v>
      </c>
      <c r="E28" s="96" t="s">
        <v>389</v>
      </c>
      <c r="F28" s="96" t="s">
        <v>392</v>
      </c>
      <c r="G28" s="92">
        <v>8</v>
      </c>
      <c r="H28" s="94">
        <f t="shared" si="0"/>
        <v>10</v>
      </c>
      <c r="I28" s="69"/>
    </row>
    <row r="29" spans="1:9" ht="12.75" customHeight="1" x14ac:dyDescent="0.2">
      <c r="A29" s="67">
        <v>28</v>
      </c>
      <c r="B29" s="87" t="s">
        <v>20</v>
      </c>
      <c r="C29" s="88" t="s">
        <v>11</v>
      </c>
      <c r="D29" s="95">
        <v>50</v>
      </c>
      <c r="E29" s="96" t="s">
        <v>389</v>
      </c>
      <c r="F29" s="88" t="s">
        <v>393</v>
      </c>
      <c r="G29" s="92">
        <v>4</v>
      </c>
      <c r="H29" s="93">
        <f t="shared" si="0"/>
        <v>12.5</v>
      </c>
      <c r="I29" s="69"/>
    </row>
    <row r="30" spans="1:9" ht="12.75" customHeight="1" x14ac:dyDescent="0.2">
      <c r="A30" s="67">
        <v>29</v>
      </c>
      <c r="B30" s="97" t="s">
        <v>413</v>
      </c>
      <c r="C30" s="96" t="s">
        <v>21</v>
      </c>
      <c r="D30" s="95">
        <v>145</v>
      </c>
      <c r="E30" s="96" t="s">
        <v>389</v>
      </c>
      <c r="F30" s="96" t="s">
        <v>391</v>
      </c>
      <c r="G30" s="92">
        <v>128</v>
      </c>
      <c r="H30" s="93">
        <f t="shared" si="0"/>
        <v>1.1328125</v>
      </c>
      <c r="I30" s="69"/>
    </row>
    <row r="31" spans="1:9" ht="12.75" customHeight="1" x14ac:dyDescent="0.2">
      <c r="A31" s="67">
        <v>30</v>
      </c>
      <c r="B31" s="97" t="s">
        <v>507</v>
      </c>
      <c r="C31" s="96" t="s">
        <v>11</v>
      </c>
      <c r="D31" s="95">
        <v>135</v>
      </c>
      <c r="E31" s="96" t="s">
        <v>389</v>
      </c>
      <c r="F31" s="88" t="s">
        <v>392</v>
      </c>
      <c r="G31" s="92">
        <v>8</v>
      </c>
      <c r="H31" s="94">
        <f t="shared" si="0"/>
        <v>16.875</v>
      </c>
      <c r="I31" s="69"/>
    </row>
    <row r="32" spans="1:9" ht="12.75" customHeight="1" x14ac:dyDescent="0.2">
      <c r="A32" s="67">
        <v>31</v>
      </c>
      <c r="B32" s="97" t="s">
        <v>475</v>
      </c>
      <c r="C32" s="96" t="s">
        <v>21</v>
      </c>
      <c r="D32" s="95">
        <v>360</v>
      </c>
      <c r="E32" s="96" t="s">
        <v>389</v>
      </c>
      <c r="F32" s="96" t="s">
        <v>391</v>
      </c>
      <c r="G32" s="92">
        <v>128</v>
      </c>
      <c r="H32" s="94">
        <f t="shared" si="0"/>
        <v>2.8125</v>
      </c>
      <c r="I32" s="69"/>
    </row>
    <row r="33" spans="1:9" ht="12.75" customHeight="1" x14ac:dyDescent="0.2">
      <c r="A33" s="67">
        <v>32</v>
      </c>
      <c r="B33" s="87" t="s">
        <v>22</v>
      </c>
      <c r="C33" s="88" t="s">
        <v>3</v>
      </c>
      <c r="D33" s="89">
        <v>11</v>
      </c>
      <c r="E33" s="90" t="s">
        <v>57</v>
      </c>
      <c r="F33" s="88" t="s">
        <v>57</v>
      </c>
      <c r="G33" s="92">
        <v>1</v>
      </c>
      <c r="H33" s="93">
        <f t="shared" si="0"/>
        <v>11</v>
      </c>
      <c r="I33" s="69"/>
    </row>
    <row r="34" spans="1:9" ht="12.75" customHeight="1" x14ac:dyDescent="0.2">
      <c r="A34" s="67">
        <v>33</v>
      </c>
      <c r="B34" s="97" t="s">
        <v>411</v>
      </c>
      <c r="C34" s="96" t="s">
        <v>35</v>
      </c>
      <c r="D34" s="95">
        <v>3.5</v>
      </c>
      <c r="E34" s="96" t="s">
        <v>392</v>
      </c>
      <c r="F34" s="96" t="s">
        <v>392</v>
      </c>
      <c r="G34" s="92">
        <v>1</v>
      </c>
      <c r="H34" s="93">
        <f t="shared" ref="H34:H65" si="1">IF(G34=0,0,D34/G34)</f>
        <v>3.5</v>
      </c>
      <c r="I34" s="69"/>
    </row>
    <row r="35" spans="1:9" ht="12.75" customHeight="1" x14ac:dyDescent="0.2">
      <c r="A35" s="67">
        <v>34</v>
      </c>
      <c r="B35" s="87" t="s">
        <v>23</v>
      </c>
      <c r="C35" s="88" t="s">
        <v>19</v>
      </c>
      <c r="D35" s="89">
        <v>200</v>
      </c>
      <c r="E35" s="90" t="s">
        <v>69</v>
      </c>
      <c r="F35" s="88" t="s">
        <v>575</v>
      </c>
      <c r="G35" s="92">
        <v>80</v>
      </c>
      <c r="H35" s="94">
        <f t="shared" si="1"/>
        <v>2.5</v>
      </c>
    </row>
    <row r="36" spans="1:9" ht="12.75" customHeight="1" x14ac:dyDescent="0.2">
      <c r="A36" s="67">
        <v>35</v>
      </c>
      <c r="B36" s="87" t="s">
        <v>573</v>
      </c>
      <c r="C36" s="88" t="s">
        <v>19</v>
      </c>
      <c r="D36" s="89">
        <v>225</v>
      </c>
      <c r="E36" s="90" t="s">
        <v>69</v>
      </c>
      <c r="F36" s="88" t="s">
        <v>575</v>
      </c>
      <c r="G36" s="92">
        <v>80</v>
      </c>
      <c r="H36" s="93">
        <f t="shared" si="1"/>
        <v>2.8125</v>
      </c>
      <c r="I36" s="69"/>
    </row>
    <row r="37" spans="1:9" ht="12.75" customHeight="1" x14ac:dyDescent="0.2">
      <c r="A37" s="67">
        <v>36</v>
      </c>
      <c r="B37" s="87" t="s">
        <v>574</v>
      </c>
      <c r="C37" s="88" t="s">
        <v>19</v>
      </c>
      <c r="D37" s="89">
        <v>240</v>
      </c>
      <c r="E37" s="90" t="s">
        <v>69</v>
      </c>
      <c r="F37" s="88" t="s">
        <v>575</v>
      </c>
      <c r="G37" s="92">
        <v>80</v>
      </c>
      <c r="H37" s="94">
        <f t="shared" si="1"/>
        <v>3</v>
      </c>
      <c r="I37" s="69"/>
    </row>
    <row r="38" spans="1:9" ht="12.75" customHeight="1" x14ac:dyDescent="0.2">
      <c r="A38" s="67">
        <v>37</v>
      </c>
      <c r="B38" s="97" t="s">
        <v>473</v>
      </c>
      <c r="C38" s="96" t="s">
        <v>19</v>
      </c>
      <c r="D38" s="95">
        <v>270</v>
      </c>
      <c r="E38" s="96" t="s">
        <v>69</v>
      </c>
      <c r="F38" s="88" t="s">
        <v>575</v>
      </c>
      <c r="G38" s="92">
        <v>80</v>
      </c>
      <c r="H38" s="93">
        <f t="shared" si="1"/>
        <v>3.375</v>
      </c>
      <c r="I38" s="69"/>
    </row>
    <row r="39" spans="1:9" ht="12.75" customHeight="1" x14ac:dyDescent="0.2">
      <c r="A39" s="67">
        <v>38</v>
      </c>
      <c r="B39" s="97" t="s">
        <v>503</v>
      </c>
      <c r="C39" s="96" t="s">
        <v>19</v>
      </c>
      <c r="D39" s="95">
        <v>255</v>
      </c>
      <c r="E39" s="96" t="s">
        <v>69</v>
      </c>
      <c r="F39" s="88" t="s">
        <v>575</v>
      </c>
      <c r="G39" s="92">
        <v>80</v>
      </c>
      <c r="H39" s="94">
        <f t="shared" si="1"/>
        <v>3.1875</v>
      </c>
      <c r="I39" s="69"/>
    </row>
    <row r="40" spans="1:9" ht="12.75" customHeight="1" x14ac:dyDescent="0.2">
      <c r="A40" s="67">
        <v>39</v>
      </c>
      <c r="B40" s="97" t="s">
        <v>474</v>
      </c>
      <c r="C40" s="96" t="s">
        <v>19</v>
      </c>
      <c r="D40" s="95">
        <v>240</v>
      </c>
      <c r="E40" s="96" t="s">
        <v>69</v>
      </c>
      <c r="F40" s="88" t="s">
        <v>575</v>
      </c>
      <c r="G40" s="92">
        <v>80</v>
      </c>
      <c r="H40" s="93">
        <f t="shared" si="1"/>
        <v>3</v>
      </c>
      <c r="I40" s="69"/>
    </row>
    <row r="41" spans="1:9" ht="12.75" customHeight="1" x14ac:dyDescent="0.2">
      <c r="A41" s="67">
        <v>40</v>
      </c>
      <c r="B41" s="87" t="s">
        <v>481</v>
      </c>
      <c r="C41" s="88" t="s">
        <v>19</v>
      </c>
      <c r="D41" s="89">
        <v>305</v>
      </c>
      <c r="E41" s="90" t="s">
        <v>69</v>
      </c>
      <c r="F41" s="88" t="s">
        <v>575</v>
      </c>
      <c r="G41" s="92">
        <v>80</v>
      </c>
      <c r="H41" s="94">
        <f t="shared" si="1"/>
        <v>3.8125</v>
      </c>
      <c r="I41" s="69"/>
    </row>
    <row r="42" spans="1:9" ht="12.75" customHeight="1" x14ac:dyDescent="0.2">
      <c r="A42" s="67">
        <v>41</v>
      </c>
      <c r="B42" s="97" t="s">
        <v>530</v>
      </c>
      <c r="C42" s="96" t="s">
        <v>19</v>
      </c>
      <c r="D42" s="95">
        <v>20</v>
      </c>
      <c r="E42" s="96" t="s">
        <v>64</v>
      </c>
      <c r="F42" s="96" t="s">
        <v>64</v>
      </c>
      <c r="G42" s="92">
        <v>1</v>
      </c>
      <c r="H42" s="93">
        <f t="shared" si="1"/>
        <v>20</v>
      </c>
      <c r="I42" s="69"/>
    </row>
    <row r="43" spans="1:9" ht="12.75" customHeight="1" x14ac:dyDescent="0.2">
      <c r="A43" s="67">
        <v>42</v>
      </c>
      <c r="B43" s="97" t="s">
        <v>531</v>
      </c>
      <c r="C43" s="96" t="s">
        <v>19</v>
      </c>
      <c r="D43" s="95">
        <v>30</v>
      </c>
      <c r="E43" s="96" t="s">
        <v>64</v>
      </c>
      <c r="F43" s="96" t="s">
        <v>64</v>
      </c>
      <c r="G43" s="92">
        <v>1</v>
      </c>
      <c r="H43" s="94">
        <f t="shared" si="1"/>
        <v>30</v>
      </c>
      <c r="I43" s="69"/>
    </row>
    <row r="44" spans="1:9" ht="12.75" customHeight="1" x14ac:dyDescent="0.2">
      <c r="A44" s="67">
        <v>43</v>
      </c>
      <c r="B44" s="87" t="s">
        <v>24</v>
      </c>
      <c r="C44" s="88" t="s">
        <v>470</v>
      </c>
      <c r="D44" s="95">
        <v>12</v>
      </c>
      <c r="E44" s="96" t="s">
        <v>389</v>
      </c>
      <c r="F44" s="88" t="s">
        <v>392</v>
      </c>
      <c r="G44" s="92">
        <v>8</v>
      </c>
      <c r="H44" s="93">
        <f t="shared" si="1"/>
        <v>1.5</v>
      </c>
    </row>
    <row r="45" spans="1:9" ht="12.75" customHeight="1" x14ac:dyDescent="0.2">
      <c r="A45" s="67">
        <v>44</v>
      </c>
      <c r="B45" s="87" t="s">
        <v>25</v>
      </c>
      <c r="C45" s="88" t="s">
        <v>11</v>
      </c>
      <c r="D45" s="95">
        <v>75</v>
      </c>
      <c r="E45" s="96" t="s">
        <v>389</v>
      </c>
      <c r="F45" s="88" t="s">
        <v>391</v>
      </c>
      <c r="G45" s="92">
        <v>128</v>
      </c>
      <c r="H45" s="93">
        <f t="shared" si="1"/>
        <v>0.5859375</v>
      </c>
      <c r="I45" s="69"/>
    </row>
    <row r="46" spans="1:9" ht="12.75" customHeight="1" x14ac:dyDescent="0.2">
      <c r="A46" s="67">
        <v>45</v>
      </c>
      <c r="B46" s="87" t="s">
        <v>438</v>
      </c>
      <c r="C46" s="88" t="s">
        <v>11</v>
      </c>
      <c r="D46" s="89">
        <v>40</v>
      </c>
      <c r="E46" s="90" t="s">
        <v>389</v>
      </c>
      <c r="F46" s="88" t="s">
        <v>391</v>
      </c>
      <c r="G46" s="92">
        <v>128</v>
      </c>
      <c r="H46" s="94">
        <f t="shared" si="1"/>
        <v>0.3125</v>
      </c>
      <c r="I46" s="69"/>
    </row>
    <row r="47" spans="1:9" ht="12.75" customHeight="1" x14ac:dyDescent="0.2">
      <c r="A47" s="67">
        <v>46</v>
      </c>
      <c r="B47" s="87" t="s">
        <v>500</v>
      </c>
      <c r="C47" s="88" t="s">
        <v>3</v>
      </c>
      <c r="D47" s="89">
        <v>0.09</v>
      </c>
      <c r="E47" s="90" t="s">
        <v>388</v>
      </c>
      <c r="F47" s="88" t="s">
        <v>388</v>
      </c>
      <c r="G47" s="92">
        <v>1</v>
      </c>
      <c r="H47" s="94">
        <f t="shared" si="1"/>
        <v>0.09</v>
      </c>
      <c r="I47" s="69"/>
    </row>
    <row r="48" spans="1:9" ht="12.75" customHeight="1" x14ac:dyDescent="0.2">
      <c r="A48" s="67">
        <v>47</v>
      </c>
      <c r="B48" s="87" t="s">
        <v>26</v>
      </c>
      <c r="C48" s="88" t="s">
        <v>19</v>
      </c>
      <c r="D48" s="89">
        <v>92</v>
      </c>
      <c r="E48" s="90" t="s">
        <v>66</v>
      </c>
      <c r="F48" s="88" t="s">
        <v>66</v>
      </c>
      <c r="G48" s="92">
        <v>1</v>
      </c>
      <c r="H48" s="93">
        <f t="shared" si="1"/>
        <v>92</v>
      </c>
      <c r="I48" s="69"/>
    </row>
    <row r="49" spans="1:9" ht="12.75" customHeight="1" x14ac:dyDescent="0.2">
      <c r="A49" s="67">
        <v>48</v>
      </c>
      <c r="B49" s="87" t="s">
        <v>468</v>
      </c>
      <c r="C49" s="88" t="s">
        <v>27</v>
      </c>
      <c r="D49" s="89">
        <v>30</v>
      </c>
      <c r="E49" s="90" t="s">
        <v>64</v>
      </c>
      <c r="F49" s="88" t="s">
        <v>64</v>
      </c>
      <c r="G49" s="92">
        <v>1</v>
      </c>
      <c r="H49" s="93">
        <f t="shared" si="1"/>
        <v>30</v>
      </c>
      <c r="I49" s="69"/>
    </row>
    <row r="50" spans="1:9" ht="12.75" customHeight="1" x14ac:dyDescent="0.2">
      <c r="A50" s="67">
        <v>49</v>
      </c>
      <c r="B50" s="87" t="s">
        <v>436</v>
      </c>
      <c r="C50" s="88" t="s">
        <v>27</v>
      </c>
      <c r="D50" s="99">
        <v>0.105</v>
      </c>
      <c r="E50" s="90" t="s">
        <v>435</v>
      </c>
      <c r="F50" s="88" t="s">
        <v>435</v>
      </c>
      <c r="G50" s="92">
        <v>1</v>
      </c>
      <c r="H50" s="94">
        <f t="shared" si="1"/>
        <v>0.105</v>
      </c>
      <c r="I50" s="69"/>
    </row>
    <row r="51" spans="1:9" ht="12.75" customHeight="1" x14ac:dyDescent="0.2">
      <c r="A51" s="67">
        <v>50</v>
      </c>
      <c r="B51" s="87" t="s">
        <v>28</v>
      </c>
      <c r="C51" s="88" t="s">
        <v>11</v>
      </c>
      <c r="D51" s="95">
        <v>37</v>
      </c>
      <c r="E51" s="96" t="s">
        <v>389</v>
      </c>
      <c r="F51" s="88" t="s">
        <v>393</v>
      </c>
      <c r="G51" s="92">
        <v>4</v>
      </c>
      <c r="H51" s="93">
        <f t="shared" si="1"/>
        <v>9.25</v>
      </c>
      <c r="I51" s="69"/>
    </row>
    <row r="52" spans="1:9" ht="12.75" customHeight="1" x14ac:dyDescent="0.2">
      <c r="A52" s="67">
        <v>51</v>
      </c>
      <c r="B52" s="87" t="s">
        <v>568</v>
      </c>
      <c r="C52" s="88" t="s">
        <v>27</v>
      </c>
      <c r="D52" s="89">
        <v>260</v>
      </c>
      <c r="E52" s="90" t="s">
        <v>68</v>
      </c>
      <c r="F52" s="88" t="s">
        <v>64</v>
      </c>
      <c r="G52" s="92">
        <v>130</v>
      </c>
      <c r="H52" s="93">
        <f t="shared" si="1"/>
        <v>2</v>
      </c>
      <c r="I52" s="69"/>
    </row>
    <row r="53" spans="1:9" ht="12.75" customHeight="1" x14ac:dyDescent="0.2">
      <c r="A53" s="67">
        <v>52</v>
      </c>
      <c r="B53" s="87" t="s">
        <v>29</v>
      </c>
      <c r="C53" s="88" t="s">
        <v>11</v>
      </c>
      <c r="D53" s="95">
        <v>16</v>
      </c>
      <c r="E53" s="96" t="s">
        <v>389</v>
      </c>
      <c r="F53" s="88" t="s">
        <v>391</v>
      </c>
      <c r="G53" s="92">
        <v>128</v>
      </c>
      <c r="H53" s="94">
        <f t="shared" si="1"/>
        <v>0.125</v>
      </c>
      <c r="I53" s="69"/>
    </row>
    <row r="54" spans="1:9" ht="12.75" customHeight="1" x14ac:dyDescent="0.2">
      <c r="A54" s="67">
        <v>53</v>
      </c>
      <c r="B54" s="97" t="s">
        <v>512</v>
      </c>
      <c r="C54" s="96" t="s">
        <v>11</v>
      </c>
      <c r="D54" s="95">
        <v>43</v>
      </c>
      <c r="E54" s="96" t="s">
        <v>389</v>
      </c>
      <c r="F54" s="96" t="s">
        <v>392</v>
      </c>
      <c r="G54" s="92">
        <v>8</v>
      </c>
      <c r="H54" s="93">
        <f t="shared" si="1"/>
        <v>5.375</v>
      </c>
      <c r="I54" s="69"/>
    </row>
    <row r="55" spans="1:9" ht="12.75" customHeight="1" x14ac:dyDescent="0.2">
      <c r="A55" s="67">
        <v>54</v>
      </c>
      <c r="B55" s="87" t="s">
        <v>30</v>
      </c>
      <c r="C55" s="88" t="s">
        <v>31</v>
      </c>
      <c r="D55" s="89">
        <v>15</v>
      </c>
      <c r="E55" s="90" t="s">
        <v>64</v>
      </c>
      <c r="F55" s="88" t="s">
        <v>64</v>
      </c>
      <c r="G55" s="92">
        <v>1</v>
      </c>
      <c r="H55" s="93">
        <f t="shared" si="1"/>
        <v>15</v>
      </c>
    </row>
    <row r="56" spans="1:9" ht="12.75" customHeight="1" x14ac:dyDescent="0.2">
      <c r="A56" s="67">
        <v>55</v>
      </c>
      <c r="B56" s="87" t="s">
        <v>32</v>
      </c>
      <c r="C56" s="88" t="s">
        <v>19</v>
      </c>
      <c r="D56" s="89">
        <v>60</v>
      </c>
      <c r="E56" s="90" t="s">
        <v>64</v>
      </c>
      <c r="F56" s="88" t="s">
        <v>64</v>
      </c>
      <c r="G56" s="92">
        <v>1</v>
      </c>
      <c r="H56" s="94">
        <f t="shared" si="1"/>
        <v>60</v>
      </c>
      <c r="I56" s="69"/>
    </row>
    <row r="57" spans="1:9" ht="12.75" customHeight="1" x14ac:dyDescent="0.2">
      <c r="A57" s="67">
        <v>56</v>
      </c>
      <c r="B57" s="87" t="s">
        <v>33</v>
      </c>
      <c r="C57" s="88" t="s">
        <v>3</v>
      </c>
      <c r="D57" s="89">
        <v>6</v>
      </c>
      <c r="E57" s="90" t="s">
        <v>57</v>
      </c>
      <c r="F57" s="88" t="s">
        <v>57</v>
      </c>
      <c r="G57" s="92">
        <v>1</v>
      </c>
      <c r="H57" s="93">
        <f t="shared" si="1"/>
        <v>6</v>
      </c>
      <c r="I57" s="69"/>
    </row>
    <row r="58" spans="1:9" ht="12.75" customHeight="1" x14ac:dyDescent="0.2">
      <c r="A58" s="67">
        <v>57</v>
      </c>
      <c r="B58" s="87" t="s">
        <v>34</v>
      </c>
      <c r="C58" s="88" t="s">
        <v>3</v>
      </c>
      <c r="D58" s="89">
        <v>5</v>
      </c>
      <c r="E58" s="90" t="s">
        <v>57</v>
      </c>
      <c r="F58" s="88" t="s">
        <v>57</v>
      </c>
      <c r="G58" s="92">
        <v>1</v>
      </c>
      <c r="H58" s="94">
        <f t="shared" si="1"/>
        <v>5</v>
      </c>
      <c r="I58" s="69"/>
    </row>
    <row r="59" spans="1:9" ht="12.75" customHeight="1" x14ac:dyDescent="0.2">
      <c r="A59" s="67">
        <v>58</v>
      </c>
      <c r="B59" s="87" t="s">
        <v>382</v>
      </c>
      <c r="C59" s="88" t="s">
        <v>3</v>
      </c>
      <c r="D59" s="89">
        <v>0.28000000000000003</v>
      </c>
      <c r="E59" s="90" t="s">
        <v>66</v>
      </c>
      <c r="F59" s="88" t="s">
        <v>66</v>
      </c>
      <c r="G59" s="92">
        <v>1</v>
      </c>
      <c r="H59" s="93">
        <f t="shared" si="1"/>
        <v>0.28000000000000003</v>
      </c>
      <c r="I59" s="69"/>
    </row>
    <row r="60" spans="1:9" ht="12.75" customHeight="1" x14ac:dyDescent="0.2">
      <c r="A60" s="67">
        <v>59</v>
      </c>
      <c r="B60" s="97" t="s">
        <v>380</v>
      </c>
      <c r="C60" s="96" t="s">
        <v>3</v>
      </c>
      <c r="D60" s="95">
        <v>0.24</v>
      </c>
      <c r="E60" s="96" t="s">
        <v>66</v>
      </c>
      <c r="F60" s="96" t="s">
        <v>66</v>
      </c>
      <c r="G60" s="92">
        <v>1</v>
      </c>
      <c r="H60" s="94">
        <f t="shared" si="1"/>
        <v>0.24</v>
      </c>
      <c r="I60" s="69"/>
    </row>
    <row r="61" spans="1:9" ht="12.75" customHeight="1" x14ac:dyDescent="0.2">
      <c r="A61" s="67">
        <v>60</v>
      </c>
      <c r="B61" s="97" t="s">
        <v>381</v>
      </c>
      <c r="C61" s="96" t="s">
        <v>3</v>
      </c>
      <c r="D61" s="95">
        <v>0.3</v>
      </c>
      <c r="E61" s="96" t="s">
        <v>66</v>
      </c>
      <c r="F61" s="96" t="s">
        <v>66</v>
      </c>
      <c r="G61" s="92">
        <v>1</v>
      </c>
      <c r="H61" s="93">
        <f t="shared" si="1"/>
        <v>0.3</v>
      </c>
      <c r="I61" s="69"/>
    </row>
    <row r="62" spans="1:9" ht="12.75" customHeight="1" x14ac:dyDescent="0.2">
      <c r="A62" s="67">
        <v>61</v>
      </c>
      <c r="B62" s="87" t="s">
        <v>578</v>
      </c>
      <c r="C62" s="88" t="s">
        <v>3</v>
      </c>
      <c r="D62" s="89">
        <v>0.11</v>
      </c>
      <c r="E62" s="90" t="s">
        <v>388</v>
      </c>
      <c r="F62" s="88" t="s">
        <v>388</v>
      </c>
      <c r="G62" s="92">
        <v>1</v>
      </c>
      <c r="H62" s="94">
        <f t="shared" si="1"/>
        <v>0.11</v>
      </c>
      <c r="I62" s="69"/>
    </row>
    <row r="63" spans="1:9" ht="12.75" customHeight="1" x14ac:dyDescent="0.2">
      <c r="A63" s="67">
        <v>62</v>
      </c>
      <c r="B63" s="97" t="s">
        <v>443</v>
      </c>
      <c r="C63" s="96" t="s">
        <v>35</v>
      </c>
      <c r="D63" s="95">
        <v>320</v>
      </c>
      <c r="E63" s="96" t="s">
        <v>389</v>
      </c>
      <c r="F63" s="88" t="s">
        <v>391</v>
      </c>
      <c r="G63" s="92">
        <v>128</v>
      </c>
      <c r="H63" s="94">
        <f t="shared" si="1"/>
        <v>2.5</v>
      </c>
    </row>
    <row r="64" spans="1:9" ht="12.75" customHeight="1" x14ac:dyDescent="0.2">
      <c r="A64" s="67">
        <v>63</v>
      </c>
      <c r="B64" s="87" t="s">
        <v>479</v>
      </c>
      <c r="C64" s="88" t="s">
        <v>11</v>
      </c>
      <c r="D64" s="89">
        <v>120</v>
      </c>
      <c r="E64" s="90" t="s">
        <v>389</v>
      </c>
      <c r="F64" s="88" t="s">
        <v>391</v>
      </c>
      <c r="G64" s="92">
        <v>128</v>
      </c>
      <c r="H64" s="94">
        <f t="shared" si="1"/>
        <v>0.9375</v>
      </c>
    </row>
    <row r="65" spans="1:9" ht="12.75" customHeight="1" x14ac:dyDescent="0.2">
      <c r="A65" s="67">
        <v>64</v>
      </c>
      <c r="B65" s="87" t="s">
        <v>483</v>
      </c>
      <c r="C65" s="88" t="s">
        <v>27</v>
      </c>
      <c r="D65" s="89">
        <v>30</v>
      </c>
      <c r="E65" s="90" t="s">
        <v>64</v>
      </c>
      <c r="F65" s="88" t="s">
        <v>64</v>
      </c>
      <c r="G65" s="92">
        <v>1</v>
      </c>
      <c r="H65" s="94">
        <f t="shared" si="1"/>
        <v>30</v>
      </c>
    </row>
    <row r="66" spans="1:9" ht="12.75" customHeight="1" x14ac:dyDescent="0.2">
      <c r="A66" s="67">
        <v>65</v>
      </c>
      <c r="B66" s="87" t="s">
        <v>36</v>
      </c>
      <c r="C66" s="88" t="s">
        <v>11</v>
      </c>
      <c r="D66" s="95">
        <v>19</v>
      </c>
      <c r="E66" s="96" t="s">
        <v>389</v>
      </c>
      <c r="F66" s="88" t="s">
        <v>391</v>
      </c>
      <c r="G66" s="92">
        <v>128</v>
      </c>
      <c r="H66" s="93">
        <f t="shared" ref="H66:H97" si="2">IF(G66=0,0,D66/G66)</f>
        <v>0.1484375</v>
      </c>
    </row>
    <row r="67" spans="1:9" ht="12.75" customHeight="1" x14ac:dyDescent="0.2">
      <c r="A67" s="67">
        <v>66</v>
      </c>
      <c r="B67" s="87" t="s">
        <v>441</v>
      </c>
      <c r="C67" s="88" t="s">
        <v>11</v>
      </c>
      <c r="D67" s="89">
        <v>810</v>
      </c>
      <c r="E67" s="90" t="s">
        <v>389</v>
      </c>
      <c r="F67" s="88" t="s">
        <v>391</v>
      </c>
      <c r="G67" s="92">
        <v>128</v>
      </c>
      <c r="H67" s="94">
        <f t="shared" si="2"/>
        <v>6.328125</v>
      </c>
      <c r="I67" s="69"/>
    </row>
    <row r="68" spans="1:9" ht="12.75" customHeight="1" x14ac:dyDescent="0.2">
      <c r="A68" s="67">
        <v>67</v>
      </c>
      <c r="B68" s="97" t="s">
        <v>471</v>
      </c>
      <c r="C68" s="96" t="s">
        <v>3</v>
      </c>
      <c r="D68" s="96">
        <v>2</v>
      </c>
      <c r="E68" s="96" t="s">
        <v>65</v>
      </c>
      <c r="F68" s="96" t="s">
        <v>57</v>
      </c>
      <c r="G68" s="92">
        <f>1362/2000</f>
        <v>0.68100000000000005</v>
      </c>
      <c r="H68" s="93">
        <f t="shared" si="2"/>
        <v>2.9368575624082229</v>
      </c>
      <c r="I68" s="69"/>
    </row>
    <row r="69" spans="1:9" ht="12.75" customHeight="1" x14ac:dyDescent="0.2">
      <c r="A69" s="67">
        <v>68</v>
      </c>
      <c r="B69" s="87" t="s">
        <v>37</v>
      </c>
      <c r="C69" s="88" t="s">
        <v>21</v>
      </c>
      <c r="D69" s="89">
        <v>2.5</v>
      </c>
      <c r="E69" s="90" t="s">
        <v>390</v>
      </c>
      <c r="F69" s="88" t="s">
        <v>390</v>
      </c>
      <c r="G69" s="92">
        <v>1</v>
      </c>
      <c r="H69" s="93">
        <f t="shared" si="2"/>
        <v>2.5</v>
      </c>
      <c r="I69" s="69"/>
    </row>
    <row r="70" spans="1:9" ht="12.75" customHeight="1" x14ac:dyDescent="0.2">
      <c r="A70" s="67">
        <v>69</v>
      </c>
      <c r="B70" s="87" t="s">
        <v>38</v>
      </c>
      <c r="C70" s="88" t="s">
        <v>21</v>
      </c>
      <c r="D70" s="89">
        <v>55</v>
      </c>
      <c r="E70" s="90" t="s">
        <v>389</v>
      </c>
      <c r="F70" s="91" t="s">
        <v>392</v>
      </c>
      <c r="G70" s="92">
        <v>8</v>
      </c>
      <c r="H70" s="94">
        <f t="shared" si="2"/>
        <v>6.875</v>
      </c>
    </row>
    <row r="71" spans="1:9" ht="12.75" customHeight="1" x14ac:dyDescent="0.2">
      <c r="A71" s="67">
        <v>70</v>
      </c>
      <c r="B71" s="97" t="s">
        <v>532</v>
      </c>
      <c r="C71" s="96" t="s">
        <v>21</v>
      </c>
      <c r="D71" s="95">
        <v>55</v>
      </c>
      <c r="E71" s="96" t="s">
        <v>389</v>
      </c>
      <c r="F71" s="96" t="s">
        <v>392</v>
      </c>
      <c r="G71" s="92">
        <v>8</v>
      </c>
      <c r="H71" s="94">
        <f t="shared" si="2"/>
        <v>6.875</v>
      </c>
    </row>
    <row r="72" spans="1:9" ht="12.75" customHeight="1" x14ac:dyDescent="0.2">
      <c r="A72" s="67">
        <v>71</v>
      </c>
      <c r="B72" s="97" t="s">
        <v>434</v>
      </c>
      <c r="C72" s="96" t="s">
        <v>11</v>
      </c>
      <c r="D72" s="95">
        <v>80</v>
      </c>
      <c r="E72" s="96" t="s">
        <v>389</v>
      </c>
      <c r="F72" s="96" t="s">
        <v>393</v>
      </c>
      <c r="G72" s="92">
        <v>4</v>
      </c>
      <c r="H72" s="93">
        <f t="shared" si="2"/>
        <v>20</v>
      </c>
    </row>
    <row r="73" spans="1:9" ht="12.75" customHeight="1" x14ac:dyDescent="0.2">
      <c r="A73" s="67">
        <v>72</v>
      </c>
      <c r="B73" s="87" t="s">
        <v>39</v>
      </c>
      <c r="C73" s="88" t="s">
        <v>19</v>
      </c>
      <c r="D73" s="89">
        <v>0.45</v>
      </c>
      <c r="E73" s="90" t="s">
        <v>390</v>
      </c>
      <c r="F73" s="88" t="s">
        <v>390</v>
      </c>
      <c r="G73" s="92">
        <v>1</v>
      </c>
      <c r="H73" s="93">
        <f t="shared" si="2"/>
        <v>0.45</v>
      </c>
    </row>
    <row r="74" spans="1:9" ht="12.75" customHeight="1" x14ac:dyDescent="0.2">
      <c r="A74" s="67">
        <v>73</v>
      </c>
      <c r="B74" s="87" t="s">
        <v>40</v>
      </c>
      <c r="C74" s="88" t="s">
        <v>27</v>
      </c>
      <c r="D74" s="89">
        <v>20</v>
      </c>
      <c r="E74" s="90" t="s">
        <v>394</v>
      </c>
      <c r="F74" s="88" t="s">
        <v>394</v>
      </c>
      <c r="G74" s="92">
        <v>1</v>
      </c>
      <c r="H74" s="93">
        <f t="shared" si="2"/>
        <v>20</v>
      </c>
      <c r="I74" s="69"/>
    </row>
    <row r="75" spans="1:9" ht="12.75" customHeight="1" x14ac:dyDescent="0.2">
      <c r="A75" s="67">
        <v>74</v>
      </c>
      <c r="B75" s="87" t="s">
        <v>412</v>
      </c>
      <c r="C75" s="88" t="s">
        <v>21</v>
      </c>
      <c r="D75" s="89">
        <v>190</v>
      </c>
      <c r="E75" s="90" t="s">
        <v>389</v>
      </c>
      <c r="F75" s="88" t="s">
        <v>391</v>
      </c>
      <c r="G75" s="92">
        <v>128</v>
      </c>
      <c r="H75" s="93">
        <f t="shared" si="2"/>
        <v>1.484375</v>
      </c>
      <c r="I75" s="69"/>
    </row>
    <row r="76" spans="1:9" ht="12.75" customHeight="1" x14ac:dyDescent="0.2">
      <c r="A76" s="67">
        <v>75</v>
      </c>
      <c r="B76" s="87" t="s">
        <v>41</v>
      </c>
      <c r="C76" s="88" t="s">
        <v>470</v>
      </c>
      <c r="D76" s="95">
        <v>22</v>
      </c>
      <c r="E76" s="96" t="s">
        <v>389</v>
      </c>
      <c r="F76" s="91" t="s">
        <v>391</v>
      </c>
      <c r="G76" s="92">
        <v>128</v>
      </c>
      <c r="H76" s="94">
        <f t="shared" si="2"/>
        <v>0.171875</v>
      </c>
      <c r="I76" s="69"/>
    </row>
    <row r="77" spans="1:9" x14ac:dyDescent="0.2">
      <c r="A77" s="67">
        <v>76</v>
      </c>
      <c r="B77" s="87" t="s">
        <v>42</v>
      </c>
      <c r="C77" s="88" t="s">
        <v>19</v>
      </c>
      <c r="D77" s="89">
        <v>9</v>
      </c>
      <c r="E77" s="90" t="s">
        <v>388</v>
      </c>
      <c r="F77" s="88" t="s">
        <v>388</v>
      </c>
      <c r="G77" s="92">
        <v>1</v>
      </c>
      <c r="H77" s="94">
        <f t="shared" si="2"/>
        <v>9</v>
      </c>
      <c r="I77" s="69"/>
    </row>
    <row r="78" spans="1:9" x14ac:dyDescent="0.2">
      <c r="A78" s="67">
        <v>77</v>
      </c>
      <c r="B78" s="97" t="s">
        <v>409</v>
      </c>
      <c r="C78" s="96" t="s">
        <v>11</v>
      </c>
      <c r="D78" s="95">
        <v>150</v>
      </c>
      <c r="E78" s="96" t="s">
        <v>389</v>
      </c>
      <c r="F78" s="96" t="s">
        <v>391</v>
      </c>
      <c r="G78" s="92">
        <v>128</v>
      </c>
      <c r="H78" s="94">
        <f t="shared" si="2"/>
        <v>1.171875</v>
      </c>
      <c r="I78" s="69"/>
    </row>
    <row r="79" spans="1:9" x14ac:dyDescent="0.2">
      <c r="A79" s="67">
        <v>78</v>
      </c>
      <c r="B79" s="97" t="s">
        <v>495</v>
      </c>
      <c r="C79" s="96" t="s">
        <v>35</v>
      </c>
      <c r="D79" s="95">
        <v>8</v>
      </c>
      <c r="E79" s="96" t="s">
        <v>390</v>
      </c>
      <c r="F79" s="96" t="s">
        <v>390</v>
      </c>
      <c r="G79" s="92">
        <v>1</v>
      </c>
      <c r="H79" s="93">
        <f t="shared" si="2"/>
        <v>8</v>
      </c>
      <c r="I79" s="69"/>
    </row>
    <row r="80" spans="1:9" x14ac:dyDescent="0.2">
      <c r="A80" s="67">
        <v>79</v>
      </c>
      <c r="B80" s="87" t="s">
        <v>43</v>
      </c>
      <c r="C80" s="88" t="s">
        <v>11</v>
      </c>
      <c r="D80" s="95">
        <v>17</v>
      </c>
      <c r="E80" s="96" t="s">
        <v>391</v>
      </c>
      <c r="F80" s="88" t="s">
        <v>391</v>
      </c>
      <c r="G80" s="92">
        <v>1</v>
      </c>
      <c r="H80" s="93">
        <f t="shared" si="2"/>
        <v>17</v>
      </c>
    </row>
    <row r="81" spans="1:9" x14ac:dyDescent="0.2">
      <c r="A81" s="67">
        <v>80</v>
      </c>
      <c r="B81" s="97" t="s">
        <v>494</v>
      </c>
      <c r="C81" s="96" t="s">
        <v>19</v>
      </c>
      <c r="D81" s="95">
        <v>18</v>
      </c>
      <c r="E81" s="96" t="s">
        <v>388</v>
      </c>
      <c r="F81" s="96" t="s">
        <v>388</v>
      </c>
      <c r="G81" s="92">
        <v>1</v>
      </c>
      <c r="H81" s="93">
        <f t="shared" si="2"/>
        <v>18</v>
      </c>
      <c r="I81" s="69"/>
    </row>
    <row r="82" spans="1:9" x14ac:dyDescent="0.2">
      <c r="A82" s="67">
        <v>81</v>
      </c>
      <c r="B82" s="87" t="s">
        <v>480</v>
      </c>
      <c r="C82" s="88" t="s">
        <v>35</v>
      </c>
      <c r="D82" s="89">
        <v>670</v>
      </c>
      <c r="E82" s="90" t="s">
        <v>389</v>
      </c>
      <c r="F82" s="88" t="s">
        <v>391</v>
      </c>
      <c r="G82" s="92">
        <v>128</v>
      </c>
      <c r="H82" s="94">
        <f t="shared" si="2"/>
        <v>5.234375</v>
      </c>
      <c r="I82" s="69"/>
    </row>
    <row r="83" spans="1:9" x14ac:dyDescent="0.2">
      <c r="A83" s="67">
        <v>82</v>
      </c>
      <c r="B83" s="87" t="s">
        <v>410</v>
      </c>
      <c r="C83" s="88" t="s">
        <v>11</v>
      </c>
      <c r="D83" s="95">
        <v>52</v>
      </c>
      <c r="E83" s="96" t="s">
        <v>389</v>
      </c>
      <c r="F83" s="88" t="s">
        <v>392</v>
      </c>
      <c r="G83" s="92">
        <v>8</v>
      </c>
      <c r="H83" s="94">
        <f t="shared" si="2"/>
        <v>6.5</v>
      </c>
      <c r="I83" s="69"/>
    </row>
    <row r="84" spans="1:9" x14ac:dyDescent="0.2">
      <c r="A84" s="67">
        <v>83</v>
      </c>
      <c r="B84" s="87" t="s">
        <v>44</v>
      </c>
      <c r="C84" s="88" t="s">
        <v>11</v>
      </c>
      <c r="D84" s="95">
        <v>490</v>
      </c>
      <c r="E84" s="96" t="s">
        <v>389</v>
      </c>
      <c r="F84" s="88" t="s">
        <v>391</v>
      </c>
      <c r="G84" s="92">
        <v>128</v>
      </c>
      <c r="H84" s="93">
        <f t="shared" si="2"/>
        <v>3.828125</v>
      </c>
      <c r="I84" s="69"/>
    </row>
    <row r="85" spans="1:9" x14ac:dyDescent="0.2">
      <c r="A85" s="67">
        <v>84</v>
      </c>
      <c r="B85" s="97" t="s">
        <v>469</v>
      </c>
      <c r="C85" s="96" t="s">
        <v>35</v>
      </c>
      <c r="D85" s="95">
        <v>440</v>
      </c>
      <c r="E85" s="96" t="s">
        <v>389</v>
      </c>
      <c r="F85" s="96" t="s">
        <v>391</v>
      </c>
      <c r="G85" s="92">
        <v>128</v>
      </c>
      <c r="H85" s="93">
        <f t="shared" si="2"/>
        <v>3.4375</v>
      </c>
      <c r="I85" s="69"/>
    </row>
    <row r="86" spans="1:9" ht="14.25" customHeight="1" x14ac:dyDescent="0.2">
      <c r="A86" s="67">
        <v>85</v>
      </c>
      <c r="B86" s="87" t="s">
        <v>482</v>
      </c>
      <c r="C86" s="88" t="s">
        <v>35</v>
      </c>
      <c r="D86" s="89">
        <v>290</v>
      </c>
      <c r="E86" s="90" t="s">
        <v>389</v>
      </c>
      <c r="F86" s="88" t="s">
        <v>391</v>
      </c>
      <c r="G86" s="92">
        <v>128</v>
      </c>
      <c r="H86" s="94">
        <f t="shared" si="2"/>
        <v>2.265625</v>
      </c>
      <c r="I86" s="69"/>
    </row>
    <row r="87" spans="1:9" x14ac:dyDescent="0.2">
      <c r="A87" s="67">
        <v>86</v>
      </c>
      <c r="B87" s="97" t="s">
        <v>408</v>
      </c>
      <c r="C87" s="96" t="s">
        <v>11</v>
      </c>
      <c r="D87" s="95">
        <v>610</v>
      </c>
      <c r="E87" s="96" t="s">
        <v>389</v>
      </c>
      <c r="F87" s="96" t="s">
        <v>391</v>
      </c>
      <c r="G87" s="92">
        <v>128</v>
      </c>
      <c r="H87" s="94">
        <f t="shared" si="2"/>
        <v>4.765625</v>
      </c>
      <c r="I87" s="69"/>
    </row>
    <row r="88" spans="1:9" x14ac:dyDescent="0.2">
      <c r="A88" s="67">
        <v>87</v>
      </c>
      <c r="B88" s="87" t="s">
        <v>45</v>
      </c>
      <c r="C88" s="88" t="s">
        <v>21</v>
      </c>
      <c r="D88" s="89">
        <v>9.6</v>
      </c>
      <c r="E88" s="90" t="s">
        <v>391</v>
      </c>
      <c r="F88" s="88" t="s">
        <v>391</v>
      </c>
      <c r="G88" s="92">
        <v>1</v>
      </c>
      <c r="H88" s="94">
        <f t="shared" si="2"/>
        <v>9.6</v>
      </c>
      <c r="I88" s="69"/>
    </row>
    <row r="89" spans="1:9" ht="15" customHeight="1" x14ac:dyDescent="0.2">
      <c r="A89" s="67">
        <v>88</v>
      </c>
      <c r="B89" s="97" t="s">
        <v>472</v>
      </c>
      <c r="C89" s="96" t="s">
        <v>11</v>
      </c>
      <c r="D89" s="95">
        <v>38</v>
      </c>
      <c r="E89" s="96" t="s">
        <v>389</v>
      </c>
      <c r="F89" s="96" t="s">
        <v>391</v>
      </c>
      <c r="G89" s="92">
        <v>128</v>
      </c>
      <c r="H89" s="93">
        <f t="shared" si="2"/>
        <v>0.296875</v>
      </c>
    </row>
    <row r="90" spans="1:9" x14ac:dyDescent="0.2">
      <c r="A90" s="67">
        <v>89</v>
      </c>
      <c r="B90" s="87" t="s">
        <v>46</v>
      </c>
      <c r="C90" s="88" t="s">
        <v>19</v>
      </c>
      <c r="D90" s="89">
        <v>52</v>
      </c>
      <c r="E90" s="90" t="s">
        <v>69</v>
      </c>
      <c r="F90" s="88" t="s">
        <v>69</v>
      </c>
      <c r="G90" s="92">
        <v>1</v>
      </c>
      <c r="H90" s="94">
        <f t="shared" si="2"/>
        <v>52</v>
      </c>
      <c r="I90" s="69"/>
    </row>
    <row r="91" spans="1:9" x14ac:dyDescent="0.2">
      <c r="A91" s="67">
        <v>90</v>
      </c>
      <c r="B91" s="97" t="s">
        <v>508</v>
      </c>
      <c r="C91" s="96" t="s">
        <v>19</v>
      </c>
      <c r="D91" s="95">
        <v>65</v>
      </c>
      <c r="E91" s="96" t="s">
        <v>69</v>
      </c>
      <c r="F91" s="96" t="s">
        <v>69</v>
      </c>
      <c r="G91" s="92">
        <v>1</v>
      </c>
      <c r="H91" s="93">
        <f t="shared" si="2"/>
        <v>65</v>
      </c>
      <c r="I91" s="69"/>
    </row>
    <row r="92" spans="1:9" x14ac:dyDescent="0.2">
      <c r="A92" s="67">
        <v>91</v>
      </c>
      <c r="B92" s="87" t="s">
        <v>437</v>
      </c>
      <c r="C92" s="88" t="s">
        <v>19</v>
      </c>
      <c r="D92" s="89">
        <v>55</v>
      </c>
      <c r="E92" s="90" t="s">
        <v>69</v>
      </c>
      <c r="F92" s="88" t="s">
        <v>69</v>
      </c>
      <c r="G92" s="92">
        <v>1</v>
      </c>
      <c r="H92" s="94">
        <f t="shared" si="2"/>
        <v>55</v>
      </c>
      <c r="I92" s="69"/>
    </row>
    <row r="93" spans="1:9" x14ac:dyDescent="0.2">
      <c r="A93" s="67">
        <v>92</v>
      </c>
      <c r="B93" s="97" t="s">
        <v>509</v>
      </c>
      <c r="C93" s="96" t="s">
        <v>19</v>
      </c>
      <c r="D93" s="95">
        <v>68</v>
      </c>
      <c r="E93" s="96" t="s">
        <v>390</v>
      </c>
      <c r="F93" s="96" t="s">
        <v>390</v>
      </c>
      <c r="G93" s="92">
        <v>1</v>
      </c>
      <c r="H93" s="93">
        <f t="shared" si="2"/>
        <v>68</v>
      </c>
      <c r="I93" s="69"/>
    </row>
    <row r="94" spans="1:9" x14ac:dyDescent="0.2">
      <c r="A94" s="67">
        <v>93</v>
      </c>
      <c r="B94" s="87" t="s">
        <v>442</v>
      </c>
      <c r="C94" s="88" t="s">
        <v>11</v>
      </c>
      <c r="D94" s="89">
        <v>45</v>
      </c>
      <c r="E94" s="90" t="s">
        <v>389</v>
      </c>
      <c r="F94" s="88" t="s">
        <v>393</v>
      </c>
      <c r="G94" s="92">
        <v>4</v>
      </c>
      <c r="H94" s="94">
        <f t="shared" si="2"/>
        <v>11.25</v>
      </c>
      <c r="I94" s="69"/>
    </row>
    <row r="95" spans="1:9" x14ac:dyDescent="0.2">
      <c r="A95" s="67">
        <v>94</v>
      </c>
      <c r="B95" s="97" t="s">
        <v>571</v>
      </c>
      <c r="C95" s="96" t="s">
        <v>367</v>
      </c>
      <c r="D95" s="95">
        <v>10</v>
      </c>
      <c r="E95" s="96" t="s">
        <v>64</v>
      </c>
      <c r="F95" s="96" t="s">
        <v>64</v>
      </c>
      <c r="G95" s="92">
        <v>1</v>
      </c>
      <c r="H95" s="93">
        <f t="shared" si="2"/>
        <v>10</v>
      </c>
      <c r="I95" s="69"/>
    </row>
    <row r="96" spans="1:9" x14ac:dyDescent="0.2">
      <c r="A96" s="67">
        <v>95</v>
      </c>
      <c r="B96" s="97" t="s">
        <v>421</v>
      </c>
      <c r="C96" s="96" t="s">
        <v>367</v>
      </c>
      <c r="D96" s="95">
        <v>7</v>
      </c>
      <c r="E96" s="96" t="s">
        <v>64</v>
      </c>
      <c r="F96" s="96" t="s">
        <v>64</v>
      </c>
      <c r="G96" s="92">
        <v>1</v>
      </c>
      <c r="H96" s="94">
        <f t="shared" si="2"/>
        <v>7</v>
      </c>
      <c r="I96" s="69"/>
    </row>
    <row r="97" spans="1:9" x14ac:dyDescent="0.2">
      <c r="A97" s="67">
        <v>96</v>
      </c>
      <c r="B97" s="97" t="s">
        <v>425</v>
      </c>
      <c r="C97" s="96" t="s">
        <v>367</v>
      </c>
      <c r="D97" s="95">
        <v>7</v>
      </c>
      <c r="E97" s="96" t="s">
        <v>64</v>
      </c>
      <c r="F97" s="96" t="s">
        <v>64</v>
      </c>
      <c r="G97" s="92">
        <v>1</v>
      </c>
      <c r="H97" s="93">
        <f t="shared" si="2"/>
        <v>7</v>
      </c>
      <c r="I97" s="69"/>
    </row>
    <row r="98" spans="1:9" x14ac:dyDescent="0.2">
      <c r="A98" s="67">
        <v>97</v>
      </c>
      <c r="B98" s="87" t="s">
        <v>537</v>
      </c>
      <c r="C98" s="88" t="s">
        <v>367</v>
      </c>
      <c r="D98" s="89">
        <v>7</v>
      </c>
      <c r="E98" s="90" t="s">
        <v>64</v>
      </c>
      <c r="F98" s="88" t="s">
        <v>64</v>
      </c>
      <c r="G98" s="92">
        <v>1</v>
      </c>
      <c r="H98" s="94">
        <f t="shared" ref="H98:H127" si="3">IF(G98=0,0,D98/G98)</f>
        <v>7</v>
      </c>
      <c r="I98" s="69"/>
    </row>
    <row r="99" spans="1:9" x14ac:dyDescent="0.2">
      <c r="A99" s="67">
        <v>98</v>
      </c>
      <c r="B99" s="97" t="s">
        <v>403</v>
      </c>
      <c r="C99" s="96" t="s">
        <v>367</v>
      </c>
      <c r="D99" s="95">
        <v>7</v>
      </c>
      <c r="E99" s="96" t="s">
        <v>64</v>
      </c>
      <c r="F99" s="96" t="s">
        <v>64</v>
      </c>
      <c r="G99" s="92">
        <v>1</v>
      </c>
      <c r="H99" s="94">
        <f t="shared" si="3"/>
        <v>7</v>
      </c>
      <c r="I99" s="69"/>
    </row>
    <row r="100" spans="1:9" x14ac:dyDescent="0.2">
      <c r="A100" s="67">
        <v>99</v>
      </c>
      <c r="B100" s="97" t="s">
        <v>401</v>
      </c>
      <c r="C100" s="96" t="s">
        <v>367</v>
      </c>
      <c r="D100" s="95">
        <v>10</v>
      </c>
      <c r="E100" s="96" t="s">
        <v>64</v>
      </c>
      <c r="F100" s="96" t="s">
        <v>64</v>
      </c>
      <c r="G100" s="92">
        <v>1</v>
      </c>
      <c r="H100" s="93">
        <f t="shared" si="3"/>
        <v>10</v>
      </c>
      <c r="I100" s="69"/>
    </row>
    <row r="101" spans="1:9" x14ac:dyDescent="0.2">
      <c r="A101" s="67">
        <v>100</v>
      </c>
      <c r="B101" s="97" t="s">
        <v>569</v>
      </c>
      <c r="C101" s="96" t="s">
        <v>367</v>
      </c>
      <c r="D101" s="95">
        <v>10</v>
      </c>
      <c r="E101" s="96" t="s">
        <v>64</v>
      </c>
      <c r="F101" s="96" t="s">
        <v>64</v>
      </c>
      <c r="G101" s="92">
        <v>1</v>
      </c>
      <c r="H101" s="94">
        <f t="shared" si="3"/>
        <v>10</v>
      </c>
      <c r="I101" s="69"/>
    </row>
    <row r="102" spans="1:9" x14ac:dyDescent="0.2">
      <c r="A102" s="67">
        <v>101</v>
      </c>
      <c r="B102" s="87" t="s">
        <v>538</v>
      </c>
      <c r="C102" s="88" t="s">
        <v>367</v>
      </c>
      <c r="D102" s="89">
        <v>10</v>
      </c>
      <c r="E102" s="90" t="s">
        <v>64</v>
      </c>
      <c r="F102" s="88" t="s">
        <v>64</v>
      </c>
      <c r="G102" s="92">
        <v>2</v>
      </c>
      <c r="H102" s="93">
        <f t="shared" si="3"/>
        <v>5</v>
      </c>
      <c r="I102" s="69"/>
    </row>
    <row r="103" spans="1:9" x14ac:dyDescent="0.2">
      <c r="A103" s="67">
        <v>102</v>
      </c>
      <c r="B103" s="97" t="s">
        <v>402</v>
      </c>
      <c r="C103" s="96" t="s">
        <v>367</v>
      </c>
      <c r="D103" s="95">
        <v>16</v>
      </c>
      <c r="E103" s="96" t="s">
        <v>64</v>
      </c>
      <c r="F103" s="96" t="s">
        <v>64</v>
      </c>
      <c r="G103" s="92">
        <v>1</v>
      </c>
      <c r="H103" s="93">
        <f t="shared" si="3"/>
        <v>16</v>
      </c>
      <c r="I103" s="69"/>
    </row>
    <row r="104" spans="1:9" x14ac:dyDescent="0.2">
      <c r="A104" s="67">
        <v>103</v>
      </c>
      <c r="B104" s="87" t="s">
        <v>294</v>
      </c>
      <c r="C104" s="88" t="s">
        <v>31</v>
      </c>
      <c r="D104" s="89">
        <v>13</v>
      </c>
      <c r="E104" s="90" t="s">
        <v>64</v>
      </c>
      <c r="F104" s="88" t="s">
        <v>64</v>
      </c>
      <c r="G104" s="92">
        <v>1</v>
      </c>
      <c r="H104" s="94">
        <f t="shared" si="3"/>
        <v>13</v>
      </c>
      <c r="I104" s="69"/>
    </row>
    <row r="105" spans="1:9" x14ac:dyDescent="0.2">
      <c r="A105" s="67">
        <v>104</v>
      </c>
      <c r="B105" s="87" t="s">
        <v>47</v>
      </c>
      <c r="C105" s="88" t="s">
        <v>11</v>
      </c>
      <c r="D105" s="95">
        <v>110</v>
      </c>
      <c r="E105" s="96" t="s">
        <v>389</v>
      </c>
      <c r="F105" s="88" t="s">
        <v>391</v>
      </c>
      <c r="G105" s="92">
        <v>128</v>
      </c>
      <c r="H105" s="93">
        <f t="shared" si="3"/>
        <v>0.859375</v>
      </c>
      <c r="I105" s="69"/>
    </row>
    <row r="106" spans="1:9" x14ac:dyDescent="0.2">
      <c r="A106" s="67">
        <v>105</v>
      </c>
      <c r="B106" s="97" t="s">
        <v>496</v>
      </c>
      <c r="C106" s="96" t="s">
        <v>11</v>
      </c>
      <c r="D106" s="95">
        <v>870</v>
      </c>
      <c r="E106" s="96" t="s">
        <v>389</v>
      </c>
      <c r="F106" s="96" t="s">
        <v>391</v>
      </c>
      <c r="G106" s="92">
        <v>128</v>
      </c>
      <c r="H106" s="94">
        <f t="shared" si="3"/>
        <v>6.796875</v>
      </c>
      <c r="I106" s="69"/>
    </row>
    <row r="107" spans="1:9" x14ac:dyDescent="0.2">
      <c r="A107" s="67">
        <v>106</v>
      </c>
      <c r="B107" s="87" t="s">
        <v>48</v>
      </c>
      <c r="C107" s="88" t="s">
        <v>19</v>
      </c>
      <c r="D107" s="89">
        <v>3.2</v>
      </c>
      <c r="E107" s="90" t="s">
        <v>390</v>
      </c>
      <c r="F107" s="88" t="s">
        <v>390</v>
      </c>
      <c r="G107" s="92">
        <v>1</v>
      </c>
      <c r="H107" s="94">
        <f t="shared" si="3"/>
        <v>3.2</v>
      </c>
      <c r="I107" s="69"/>
    </row>
    <row r="108" spans="1:9" x14ac:dyDescent="0.2">
      <c r="A108" s="67">
        <v>107</v>
      </c>
      <c r="B108" s="87" t="s">
        <v>49</v>
      </c>
      <c r="C108" s="88" t="s">
        <v>19</v>
      </c>
      <c r="D108" s="89">
        <v>0.7</v>
      </c>
      <c r="E108" s="90" t="s">
        <v>390</v>
      </c>
      <c r="F108" s="88" t="s">
        <v>390</v>
      </c>
      <c r="G108" s="92">
        <v>1</v>
      </c>
      <c r="H108" s="93">
        <f t="shared" si="3"/>
        <v>0.7</v>
      </c>
      <c r="I108" s="69"/>
    </row>
    <row r="109" spans="1:9" x14ac:dyDescent="0.2">
      <c r="A109" s="67">
        <v>108</v>
      </c>
      <c r="B109" s="97" t="s">
        <v>536</v>
      </c>
      <c r="C109" s="96" t="s">
        <v>19</v>
      </c>
      <c r="D109" s="95">
        <v>1.2</v>
      </c>
      <c r="E109" s="96" t="s">
        <v>390</v>
      </c>
      <c r="F109" s="96" t="s">
        <v>390</v>
      </c>
      <c r="G109" s="92">
        <v>1</v>
      </c>
      <c r="H109" s="94">
        <f t="shared" si="3"/>
        <v>1.2</v>
      </c>
      <c r="I109" s="69"/>
    </row>
    <row r="110" spans="1:9" x14ac:dyDescent="0.2">
      <c r="A110" s="67">
        <v>109</v>
      </c>
      <c r="B110" s="87" t="s">
        <v>358</v>
      </c>
      <c r="C110" s="88" t="s">
        <v>11</v>
      </c>
      <c r="D110" s="95">
        <v>750</v>
      </c>
      <c r="E110" s="96" t="s">
        <v>389</v>
      </c>
      <c r="F110" s="88" t="s">
        <v>391</v>
      </c>
      <c r="G110" s="92">
        <v>128</v>
      </c>
      <c r="H110" s="93">
        <f t="shared" si="3"/>
        <v>5.859375</v>
      </c>
      <c r="I110" s="69"/>
    </row>
    <row r="111" spans="1:9" x14ac:dyDescent="0.2">
      <c r="A111" s="67">
        <v>110</v>
      </c>
      <c r="B111" s="87" t="s">
        <v>50</v>
      </c>
      <c r="C111" s="88" t="s">
        <v>11</v>
      </c>
      <c r="D111" s="95">
        <v>14</v>
      </c>
      <c r="E111" s="96" t="s">
        <v>391</v>
      </c>
      <c r="F111" s="88" t="s">
        <v>391</v>
      </c>
      <c r="G111" s="92">
        <v>1</v>
      </c>
      <c r="H111" s="94">
        <f t="shared" si="3"/>
        <v>14</v>
      </c>
      <c r="I111" s="69"/>
    </row>
    <row r="112" spans="1:9" x14ac:dyDescent="0.2">
      <c r="A112" s="67">
        <v>111</v>
      </c>
      <c r="B112" s="87" t="s">
        <v>51</v>
      </c>
      <c r="C112" s="88" t="s">
        <v>3</v>
      </c>
      <c r="D112" s="89">
        <v>7</v>
      </c>
      <c r="E112" s="90" t="s">
        <v>64</v>
      </c>
      <c r="F112" s="88" t="s">
        <v>64</v>
      </c>
      <c r="G112" s="92">
        <v>1</v>
      </c>
      <c r="H112" s="94">
        <f t="shared" si="3"/>
        <v>7</v>
      </c>
    </row>
    <row r="113" spans="1:8" x14ac:dyDescent="0.2">
      <c r="A113" s="67">
        <v>112</v>
      </c>
      <c r="B113" s="97" t="s">
        <v>440</v>
      </c>
      <c r="C113" s="96" t="s">
        <v>11</v>
      </c>
      <c r="D113" s="95">
        <v>4.3</v>
      </c>
      <c r="E113" s="96" t="s">
        <v>391</v>
      </c>
      <c r="F113" s="96" t="s">
        <v>391</v>
      </c>
      <c r="G113" s="92">
        <v>1</v>
      </c>
      <c r="H113" s="93">
        <f t="shared" si="3"/>
        <v>4.3</v>
      </c>
    </row>
    <row r="114" spans="1:8" x14ac:dyDescent="0.2">
      <c r="A114" s="67">
        <v>113</v>
      </c>
      <c r="B114" s="87" t="s">
        <v>478</v>
      </c>
      <c r="C114" s="88" t="s">
        <v>35</v>
      </c>
      <c r="D114" s="95">
        <v>720</v>
      </c>
      <c r="E114" s="90" t="s">
        <v>389</v>
      </c>
      <c r="F114" s="88" t="s">
        <v>391</v>
      </c>
      <c r="G114" s="92">
        <v>128</v>
      </c>
      <c r="H114" s="93">
        <f t="shared" si="3"/>
        <v>5.625</v>
      </c>
    </row>
    <row r="115" spans="1:8" x14ac:dyDescent="0.2">
      <c r="A115" s="67">
        <v>114</v>
      </c>
      <c r="B115" s="87" t="s">
        <v>52</v>
      </c>
      <c r="C115" s="88" t="s">
        <v>19</v>
      </c>
      <c r="D115" s="89">
        <v>180</v>
      </c>
      <c r="E115" s="90" t="s">
        <v>64</v>
      </c>
      <c r="F115" s="88" t="s">
        <v>64</v>
      </c>
      <c r="G115" s="92">
        <v>1</v>
      </c>
      <c r="H115" s="94">
        <f t="shared" si="3"/>
        <v>180</v>
      </c>
    </row>
    <row r="116" spans="1:8" x14ac:dyDescent="0.2">
      <c r="A116" s="67">
        <v>115</v>
      </c>
      <c r="B116" s="87" t="s">
        <v>53</v>
      </c>
      <c r="C116" s="88" t="s">
        <v>19</v>
      </c>
      <c r="D116" s="89">
        <v>1.05</v>
      </c>
      <c r="E116" s="90" t="s">
        <v>390</v>
      </c>
      <c r="F116" s="88" t="s">
        <v>390</v>
      </c>
      <c r="G116" s="92">
        <v>1</v>
      </c>
      <c r="H116" s="93">
        <f t="shared" si="3"/>
        <v>1.05</v>
      </c>
    </row>
    <row r="117" spans="1:8" x14ac:dyDescent="0.2">
      <c r="A117" s="67">
        <v>116</v>
      </c>
      <c r="B117" s="87" t="s">
        <v>54</v>
      </c>
      <c r="C117" s="88" t="s">
        <v>35</v>
      </c>
      <c r="D117" s="89">
        <v>105</v>
      </c>
      <c r="E117" s="90" t="s">
        <v>389</v>
      </c>
      <c r="F117" s="91" t="s">
        <v>391</v>
      </c>
      <c r="G117" s="92">
        <v>128</v>
      </c>
      <c r="H117" s="94">
        <f t="shared" si="3"/>
        <v>0.8203125</v>
      </c>
    </row>
    <row r="118" spans="1:8" x14ac:dyDescent="0.2">
      <c r="A118" s="67">
        <v>117</v>
      </c>
      <c r="B118" s="87" t="s">
        <v>565</v>
      </c>
      <c r="C118" s="88" t="s">
        <v>27</v>
      </c>
      <c r="D118" s="89">
        <v>0.7</v>
      </c>
      <c r="E118" s="90" t="s">
        <v>65</v>
      </c>
      <c r="F118" s="88" t="s">
        <v>57</v>
      </c>
      <c r="G118" s="92">
        <f>1539/2000</f>
        <v>0.76949999999999996</v>
      </c>
      <c r="H118" s="94">
        <f t="shared" si="3"/>
        <v>0.90968161143599735</v>
      </c>
    </row>
    <row r="119" spans="1:8" x14ac:dyDescent="0.2">
      <c r="A119" s="67">
        <v>118</v>
      </c>
      <c r="B119" s="87" t="s">
        <v>566</v>
      </c>
      <c r="C119" s="88" t="s">
        <v>27</v>
      </c>
      <c r="D119" s="89">
        <v>1.23</v>
      </c>
      <c r="E119" s="90" t="s">
        <v>65</v>
      </c>
      <c r="F119" s="88" t="s">
        <v>57</v>
      </c>
      <c r="G119" s="92">
        <f>1362/2000</f>
        <v>0.68100000000000005</v>
      </c>
      <c r="H119" s="93">
        <f t="shared" si="3"/>
        <v>1.8061674008810571</v>
      </c>
    </row>
    <row r="120" spans="1:8" x14ac:dyDescent="0.2">
      <c r="A120" s="67">
        <v>119</v>
      </c>
      <c r="B120" s="87" t="s">
        <v>567</v>
      </c>
      <c r="C120" s="88" t="s">
        <v>27</v>
      </c>
      <c r="D120" s="89">
        <v>7.0000000000000007E-2</v>
      </c>
      <c r="E120" s="90" t="s">
        <v>65</v>
      </c>
      <c r="F120" s="88" t="s">
        <v>57</v>
      </c>
      <c r="G120" s="92">
        <f>60/2000</f>
        <v>0.03</v>
      </c>
      <c r="H120" s="94">
        <f t="shared" si="3"/>
        <v>2.3333333333333335</v>
      </c>
    </row>
    <row r="121" spans="1:8" x14ac:dyDescent="0.2">
      <c r="A121" s="67">
        <v>120</v>
      </c>
      <c r="B121" s="87" t="s">
        <v>55</v>
      </c>
      <c r="C121" s="88" t="s">
        <v>7</v>
      </c>
      <c r="D121" s="89">
        <v>1</v>
      </c>
      <c r="E121" s="90" t="s">
        <v>57</v>
      </c>
      <c r="F121" s="88" t="s">
        <v>57</v>
      </c>
      <c r="G121" s="92">
        <v>1</v>
      </c>
      <c r="H121" s="94">
        <f t="shared" si="3"/>
        <v>1</v>
      </c>
    </row>
    <row r="122" spans="1:8" x14ac:dyDescent="0.2">
      <c r="A122" s="67">
        <v>121</v>
      </c>
      <c r="B122" s="87" t="s">
        <v>444</v>
      </c>
      <c r="C122" s="88" t="s">
        <v>11</v>
      </c>
      <c r="D122" s="89">
        <v>92</v>
      </c>
      <c r="E122" s="90" t="s">
        <v>390</v>
      </c>
      <c r="F122" s="88" t="s">
        <v>391</v>
      </c>
      <c r="G122" s="92">
        <v>16</v>
      </c>
      <c r="H122" s="94">
        <f t="shared" si="3"/>
        <v>5.75</v>
      </c>
    </row>
    <row r="123" spans="1:8" x14ac:dyDescent="0.2">
      <c r="A123" s="67">
        <v>122</v>
      </c>
      <c r="B123" s="97" t="s">
        <v>489</v>
      </c>
      <c r="C123" s="96" t="s">
        <v>11</v>
      </c>
      <c r="D123" s="95">
        <v>37</v>
      </c>
      <c r="E123" s="96" t="s">
        <v>390</v>
      </c>
      <c r="F123" s="96" t="s">
        <v>390</v>
      </c>
      <c r="G123" s="92">
        <v>1</v>
      </c>
      <c r="H123" s="93">
        <f t="shared" si="3"/>
        <v>37</v>
      </c>
    </row>
    <row r="124" spans="1:8" x14ac:dyDescent="0.2">
      <c r="A124" s="67">
        <v>123</v>
      </c>
      <c r="B124" s="97" t="s">
        <v>493</v>
      </c>
      <c r="C124" s="96" t="s">
        <v>11</v>
      </c>
      <c r="D124" s="95">
        <v>3.2</v>
      </c>
      <c r="E124" s="96" t="s">
        <v>389</v>
      </c>
      <c r="F124" s="96" t="s">
        <v>391</v>
      </c>
      <c r="G124" s="92">
        <v>128</v>
      </c>
      <c r="H124" s="94">
        <f t="shared" si="3"/>
        <v>2.5000000000000001E-2</v>
      </c>
    </row>
    <row r="125" spans="1:8" x14ac:dyDescent="0.2">
      <c r="A125" s="67">
        <v>124</v>
      </c>
      <c r="B125" s="87" t="s">
        <v>384</v>
      </c>
      <c r="C125" s="88" t="s">
        <v>21</v>
      </c>
      <c r="D125" s="89">
        <v>380</v>
      </c>
      <c r="E125" s="90" t="s">
        <v>389</v>
      </c>
      <c r="F125" s="88" t="s">
        <v>391</v>
      </c>
      <c r="G125" s="92">
        <v>128</v>
      </c>
      <c r="H125" s="93">
        <f t="shared" si="3"/>
        <v>2.96875</v>
      </c>
    </row>
    <row r="126" spans="1:8" x14ac:dyDescent="0.2">
      <c r="A126" s="67">
        <v>125</v>
      </c>
      <c r="B126" s="97" t="s">
        <v>525</v>
      </c>
      <c r="C126" s="96" t="s">
        <v>19</v>
      </c>
      <c r="D126" s="95">
        <v>0.12</v>
      </c>
      <c r="E126" s="96" t="s">
        <v>390</v>
      </c>
      <c r="F126" s="96" t="s">
        <v>390</v>
      </c>
      <c r="G126" s="92">
        <v>1</v>
      </c>
      <c r="H126" s="94">
        <f t="shared" si="3"/>
        <v>0.12</v>
      </c>
    </row>
    <row r="127" spans="1:8" x14ac:dyDescent="0.2">
      <c r="A127" s="67">
        <v>126</v>
      </c>
      <c r="B127" s="84" t="s">
        <v>564</v>
      </c>
      <c r="C127" s="85" t="s">
        <v>19</v>
      </c>
      <c r="D127" s="86">
        <v>0.31</v>
      </c>
      <c r="E127" s="85" t="s">
        <v>390</v>
      </c>
      <c r="F127" s="81" t="s">
        <v>390</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70</v>
      </c>
      <c r="C1" s="126" t="s">
        <v>94</v>
      </c>
      <c r="D1" s="126" t="s">
        <v>95</v>
      </c>
      <c r="E1" s="126" t="s">
        <v>91</v>
      </c>
      <c r="F1" s="126" t="s">
        <v>347</v>
      </c>
      <c r="G1" s="126" t="s">
        <v>92</v>
      </c>
      <c r="H1" s="126" t="s">
        <v>301</v>
      </c>
      <c r="I1" s="126" t="s">
        <v>332</v>
      </c>
      <c r="J1" s="126" t="s">
        <v>97</v>
      </c>
      <c r="K1" s="126" t="s">
        <v>257</v>
      </c>
      <c r="L1" s="126" t="s">
        <v>335</v>
      </c>
      <c r="M1" s="126" t="s">
        <v>336</v>
      </c>
      <c r="N1" s="126" t="s">
        <v>334</v>
      </c>
      <c r="O1" s="127" t="s">
        <v>349</v>
      </c>
      <c r="P1" s="127" t="s">
        <v>333</v>
      </c>
      <c r="Q1" s="127" t="s">
        <v>348</v>
      </c>
      <c r="R1" s="127" t="s">
        <v>350</v>
      </c>
      <c r="S1" s="127" t="s">
        <v>351</v>
      </c>
      <c r="T1" s="127" t="s">
        <v>352</v>
      </c>
      <c r="U1" s="127" t="s">
        <v>353</v>
      </c>
      <c r="W1" s="5" t="s">
        <v>98</v>
      </c>
      <c r="X1" s="49" t="s">
        <v>99</v>
      </c>
      <c r="Y1" s="50" t="s">
        <v>100</v>
      </c>
      <c r="Z1" s="50" t="s">
        <v>101</v>
      </c>
      <c r="AA1" s="51" t="s">
        <v>102</v>
      </c>
      <c r="AD1" s="6" t="s">
        <v>253</v>
      </c>
      <c r="AE1" s="6" t="s">
        <v>98</v>
      </c>
      <c r="AF1" s="6" t="s">
        <v>254</v>
      </c>
      <c r="AG1" s="6" t="s">
        <v>255</v>
      </c>
      <c r="AH1" s="6" t="s">
        <v>256</v>
      </c>
      <c r="AK1" s="217" t="s">
        <v>248</v>
      </c>
      <c r="AL1" s="217"/>
      <c r="AM1" s="217"/>
      <c r="AO1" s="52" t="s">
        <v>267</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109</v>
      </c>
      <c r="X2" s="1" t="s">
        <v>110</v>
      </c>
      <c r="Y2" s="2" t="s">
        <v>111</v>
      </c>
      <c r="Z2" s="2" t="s">
        <v>112</v>
      </c>
      <c r="AA2" s="4">
        <v>3000</v>
      </c>
      <c r="AD2" s="1" t="s">
        <v>215</v>
      </c>
      <c r="AE2" s="1" t="s">
        <v>216</v>
      </c>
      <c r="AF2" s="1" t="s">
        <v>217</v>
      </c>
      <c r="AG2" s="1" t="s">
        <v>218</v>
      </c>
      <c r="AH2" s="1">
        <v>0</v>
      </c>
      <c r="AK2" s="217"/>
      <c r="AL2" s="217"/>
      <c r="AM2" s="217"/>
      <c r="AO2" s="54" t="str">
        <f>IF(PowerUnits[[#This Row],[Name]]=0,"",PowerUnits[[#This Row],[Name]])</f>
        <v>Large Tractor</v>
      </c>
    </row>
    <row r="3" spans="1:41" ht="12.75" customHeight="1" x14ac:dyDescent="0.25">
      <c r="A3" s="124" t="s">
        <v>272</v>
      </c>
      <c r="B3" s="103" t="s">
        <v>64</v>
      </c>
      <c r="C3" s="104" t="s">
        <v>307</v>
      </c>
      <c r="D3" s="104" t="s">
        <v>329</v>
      </c>
      <c r="E3" s="114"/>
      <c r="F3" s="106">
        <v>15500</v>
      </c>
      <c r="G3" s="105">
        <v>5</v>
      </c>
      <c r="H3" s="105">
        <v>500</v>
      </c>
      <c r="I3" s="113">
        <v>12</v>
      </c>
      <c r="J3" s="108">
        <v>1.1000000000000001</v>
      </c>
      <c r="K3" s="104" t="s">
        <v>416</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113</v>
      </c>
      <c r="X3" s="1" t="s">
        <v>110</v>
      </c>
      <c r="Y3" s="2" t="s">
        <v>114</v>
      </c>
      <c r="Z3" s="2" t="s">
        <v>112</v>
      </c>
      <c r="AA3" s="4">
        <v>1500</v>
      </c>
      <c r="AD3" s="1" t="s">
        <v>215</v>
      </c>
      <c r="AE3" s="1" t="s">
        <v>220</v>
      </c>
      <c r="AF3" s="1" t="s">
        <v>221</v>
      </c>
      <c r="AG3" s="1" t="s">
        <v>222</v>
      </c>
      <c r="AH3" s="1"/>
      <c r="AK3" s="35" t="s">
        <v>249</v>
      </c>
      <c r="AL3" s="35" t="s">
        <v>250</v>
      </c>
      <c r="AM3" s="55" t="s">
        <v>251</v>
      </c>
      <c r="AO3" s="54" t="str">
        <f>IF(PowerUnits[[#This Row],[Name]]=0,"",PowerUnits[[#This Row],[Name]])</f>
        <v>Medium Tractor</v>
      </c>
    </row>
    <row r="4" spans="1:41" ht="12.75" customHeight="1" x14ac:dyDescent="0.25">
      <c r="A4" s="124" t="s">
        <v>546</v>
      </c>
      <c r="B4" s="103" t="s">
        <v>58</v>
      </c>
      <c r="C4" s="104" t="s">
        <v>324</v>
      </c>
      <c r="D4" s="104" t="s">
        <v>331</v>
      </c>
      <c r="E4" s="105">
        <v>24555</v>
      </c>
      <c r="F4" s="106"/>
      <c r="G4" s="105">
        <v>5</v>
      </c>
      <c r="H4" s="105">
        <v>1250</v>
      </c>
      <c r="I4" s="115">
        <v>4</v>
      </c>
      <c r="J4" s="108">
        <v>1.1000000000000001</v>
      </c>
      <c r="K4" s="104" t="s">
        <v>416</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115</v>
      </c>
      <c r="X4" s="1" t="s">
        <v>110</v>
      </c>
      <c r="Y4" s="2" t="s">
        <v>116</v>
      </c>
      <c r="Z4" s="2" t="s">
        <v>112</v>
      </c>
      <c r="AA4" s="4">
        <v>2000</v>
      </c>
      <c r="AD4" s="1" t="s">
        <v>215</v>
      </c>
      <c r="AE4" s="1" t="s">
        <v>223</v>
      </c>
      <c r="AF4" s="1" t="s">
        <v>224</v>
      </c>
      <c r="AG4" s="1" t="s">
        <v>225</v>
      </c>
      <c r="AH4" s="1"/>
      <c r="AK4" s="35" t="s">
        <v>185</v>
      </c>
      <c r="AL4" s="56">
        <v>15</v>
      </c>
      <c r="AM4" s="56">
        <v>2</v>
      </c>
      <c r="AO4" s="54" t="str">
        <f>IF(PowerUnits[[#This Row],[Name]]=0,"",PowerUnits[[#This Row],[Name]])</f>
        <v>Combine</v>
      </c>
    </row>
    <row r="5" spans="1:41" ht="12.75" customHeight="1" x14ac:dyDescent="0.25">
      <c r="A5" s="124" t="s">
        <v>273</v>
      </c>
      <c r="B5" s="103" t="s">
        <v>388</v>
      </c>
      <c r="C5" s="104" t="s">
        <v>357</v>
      </c>
      <c r="D5" s="104" t="s">
        <v>329</v>
      </c>
      <c r="E5" s="105">
        <v>42000</v>
      </c>
      <c r="F5" s="106"/>
      <c r="G5" s="105">
        <v>5</v>
      </c>
      <c r="H5" s="105">
        <f>2000*220</f>
        <v>440000</v>
      </c>
      <c r="I5" s="115">
        <f>7*220</f>
        <v>1540</v>
      </c>
      <c r="J5" s="108">
        <v>1.1000000000000001</v>
      </c>
      <c r="K5" s="104" t="s">
        <v>416</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117</v>
      </c>
      <c r="X5" s="1" t="s">
        <v>118</v>
      </c>
      <c r="Y5" s="2" t="s">
        <v>119</v>
      </c>
      <c r="Z5" s="2" t="s">
        <v>120</v>
      </c>
      <c r="AA5" s="3">
        <v>2000</v>
      </c>
      <c r="AD5" s="1" t="s">
        <v>215</v>
      </c>
      <c r="AE5" s="1" t="s">
        <v>226</v>
      </c>
      <c r="AF5" s="1" t="s">
        <v>227</v>
      </c>
      <c r="AG5" s="1" t="s">
        <v>228</v>
      </c>
      <c r="AH5" s="1"/>
      <c r="AK5" s="35" t="s">
        <v>187</v>
      </c>
      <c r="AL5" s="56">
        <v>10</v>
      </c>
      <c r="AM5" s="56">
        <v>3</v>
      </c>
      <c r="AO5" s="54" t="str">
        <f>IF(PowerUnits[[#This Row],[Name]]=0,"",PowerUnits[[#This Row],[Name]])</f>
        <v>Diesel Pump</v>
      </c>
    </row>
    <row r="6" spans="1:41" ht="12.75" customHeight="1" x14ac:dyDescent="0.25">
      <c r="A6" s="124" t="s">
        <v>274</v>
      </c>
      <c r="B6" s="103" t="s">
        <v>64</v>
      </c>
      <c r="C6" s="104" t="s">
        <v>307</v>
      </c>
      <c r="D6" s="104" t="s">
        <v>328</v>
      </c>
      <c r="E6" s="114">
        <v>57470</v>
      </c>
      <c r="F6" s="106"/>
      <c r="G6" s="105">
        <v>5</v>
      </c>
      <c r="H6" s="105">
        <v>2000</v>
      </c>
      <c r="I6" s="113">
        <v>11.092436974789917</v>
      </c>
      <c r="J6" s="108">
        <v>1.1000000000000001</v>
      </c>
      <c r="K6" s="104" t="s">
        <v>416</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121</v>
      </c>
      <c r="X6" s="1" t="s">
        <v>118</v>
      </c>
      <c r="Y6" s="2" t="s">
        <v>122</v>
      </c>
      <c r="Z6" s="2" t="s">
        <v>123</v>
      </c>
      <c r="AA6" s="4">
        <v>1200</v>
      </c>
      <c r="AD6" s="1" t="s">
        <v>229</v>
      </c>
      <c r="AE6" s="1" t="s">
        <v>230</v>
      </c>
      <c r="AF6" s="1" t="s">
        <v>231</v>
      </c>
      <c r="AG6" s="1" t="s">
        <v>232</v>
      </c>
      <c r="AH6" s="1"/>
      <c r="AK6" s="35" t="s">
        <v>188</v>
      </c>
      <c r="AL6" s="56">
        <v>15</v>
      </c>
      <c r="AM6" s="56">
        <v>2</v>
      </c>
      <c r="AO6" s="54" t="str">
        <f>IF(PowerUnits[[#This Row],[Name]]=0,"",PowerUnits[[#This Row],[Name]])</f>
        <v>Electric Pump</v>
      </c>
    </row>
    <row r="7" spans="1:41" ht="12.75" customHeight="1" x14ac:dyDescent="0.25">
      <c r="A7" s="124" t="s">
        <v>275</v>
      </c>
      <c r="B7" s="103" t="s">
        <v>3</v>
      </c>
      <c r="C7" s="103"/>
      <c r="D7" s="103"/>
      <c r="E7" s="105"/>
      <c r="F7" s="106"/>
      <c r="G7" s="105"/>
      <c r="H7" s="105"/>
      <c r="I7" s="113" t="s">
        <v>356</v>
      </c>
      <c r="J7" s="108"/>
      <c r="K7" s="104"/>
      <c r="L7" s="106" t="s">
        <v>356</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124</v>
      </c>
      <c r="X7" s="1" t="s">
        <v>125</v>
      </c>
      <c r="Y7" s="2" t="s">
        <v>122</v>
      </c>
      <c r="Z7" s="2" t="s">
        <v>123</v>
      </c>
      <c r="AA7" s="3">
        <v>2000</v>
      </c>
      <c r="AD7" s="1" t="s">
        <v>229</v>
      </c>
      <c r="AE7" s="1" t="s">
        <v>233</v>
      </c>
      <c r="AF7" s="1" t="s">
        <v>234</v>
      </c>
      <c r="AG7" s="1" t="s">
        <v>235</v>
      </c>
      <c r="AH7" s="1"/>
      <c r="AK7" s="35" t="s">
        <v>189</v>
      </c>
      <c r="AL7" s="56">
        <v>10</v>
      </c>
      <c r="AM7" s="56">
        <v>6</v>
      </c>
      <c r="AO7" s="54" t="str">
        <f>IF(PowerUnits[[#This Row],[Name]]=0,"",PowerUnits[[#This Row],[Name]])</f>
        <v>Diesel Pump for Pipe</v>
      </c>
    </row>
    <row r="8" spans="1:41" ht="12.75" customHeight="1" x14ac:dyDescent="0.25">
      <c r="A8" s="124" t="s">
        <v>276</v>
      </c>
      <c r="B8" s="103" t="s">
        <v>64</v>
      </c>
      <c r="C8" s="104" t="s">
        <v>308</v>
      </c>
      <c r="D8" s="104" t="s">
        <v>303</v>
      </c>
      <c r="E8" s="114">
        <v>19575</v>
      </c>
      <c r="F8" s="106"/>
      <c r="G8" s="105">
        <v>5</v>
      </c>
      <c r="H8" s="105">
        <v>500</v>
      </c>
      <c r="I8" s="113">
        <v>12.336448598130842</v>
      </c>
      <c r="J8" s="108">
        <v>1.1000000000000001</v>
      </c>
      <c r="K8" s="104" t="s">
        <v>416</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126</v>
      </c>
      <c r="X8" s="1" t="s">
        <v>110</v>
      </c>
      <c r="Y8" s="2" t="s">
        <v>127</v>
      </c>
      <c r="Z8" s="2" t="s">
        <v>128</v>
      </c>
      <c r="AA8" s="4">
        <v>2000</v>
      </c>
      <c r="AD8" s="1" t="s">
        <v>236</v>
      </c>
      <c r="AE8" s="1" t="s">
        <v>237</v>
      </c>
      <c r="AF8" s="1" t="s">
        <v>238</v>
      </c>
      <c r="AG8" s="1" t="s">
        <v>239</v>
      </c>
      <c r="AH8" s="1">
        <v>0</v>
      </c>
      <c r="AK8" s="35" t="s">
        <v>190</v>
      </c>
      <c r="AL8" s="56">
        <v>15</v>
      </c>
      <c r="AM8" s="56">
        <v>6</v>
      </c>
      <c r="AO8" s="54" t="str">
        <f>IF(PowerUnits[[#This Row],[Name]]=0,"",PowerUnits[[#This Row],[Name]])</f>
        <v>Windrower</v>
      </c>
    </row>
    <row r="9" spans="1:41" ht="12.75" customHeight="1" x14ac:dyDescent="0.25">
      <c r="A9" s="124" t="s">
        <v>422</v>
      </c>
      <c r="B9" s="103" t="s">
        <v>64</v>
      </c>
      <c r="C9" s="104" t="s">
        <v>309</v>
      </c>
      <c r="D9" s="104" t="s">
        <v>263</v>
      </c>
      <c r="E9" s="114">
        <v>52488</v>
      </c>
      <c r="F9" s="106"/>
      <c r="G9" s="105">
        <v>5</v>
      </c>
      <c r="H9" s="114">
        <v>1000</v>
      </c>
      <c r="I9" s="115">
        <v>7</v>
      </c>
      <c r="J9" s="108">
        <v>1.1000000000000001</v>
      </c>
      <c r="K9" s="104" t="s">
        <v>258</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132</v>
      </c>
      <c r="X9" s="1" t="s">
        <v>110</v>
      </c>
      <c r="Y9" s="2" t="s">
        <v>133</v>
      </c>
      <c r="Z9" s="2" t="s">
        <v>128</v>
      </c>
      <c r="AA9" s="4">
        <v>2000</v>
      </c>
      <c r="AD9" s="1" t="s">
        <v>236</v>
      </c>
      <c r="AE9" s="1" t="s">
        <v>241</v>
      </c>
      <c r="AF9" s="1" t="s">
        <v>242</v>
      </c>
      <c r="AG9" s="1" t="s">
        <v>243</v>
      </c>
      <c r="AH9" s="1"/>
      <c r="AK9" s="35" t="s">
        <v>191</v>
      </c>
      <c r="AL9" s="56">
        <v>15</v>
      </c>
      <c r="AM9" s="56">
        <v>6</v>
      </c>
      <c r="AO9" s="54" t="str">
        <f>IF(PowerUnits[[#This Row],[Name]]=0,"",PowerUnits[[#This Row],[Name]])</f>
        <v>none</v>
      </c>
    </row>
    <row r="10" spans="1:41" ht="12.75" customHeight="1" x14ac:dyDescent="0.25">
      <c r="A10" s="124" t="s">
        <v>426</v>
      </c>
      <c r="B10" s="103" t="s">
        <v>64</v>
      </c>
      <c r="C10" s="104" t="s">
        <v>309</v>
      </c>
      <c r="D10" s="104" t="s">
        <v>263</v>
      </c>
      <c r="E10" s="105">
        <v>32114</v>
      </c>
      <c r="F10" s="106"/>
      <c r="G10" s="105">
        <v>5</v>
      </c>
      <c r="H10" s="114">
        <v>1000</v>
      </c>
      <c r="I10" s="113">
        <v>6.5</v>
      </c>
      <c r="J10" s="108">
        <v>1.1000000000000001</v>
      </c>
      <c r="K10" s="104" t="s">
        <v>258</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136</v>
      </c>
      <c r="X10" s="1" t="s">
        <v>125</v>
      </c>
      <c r="Y10" s="2" t="s">
        <v>137</v>
      </c>
      <c r="Z10" s="2" t="s">
        <v>123</v>
      </c>
      <c r="AA10" s="4">
        <v>2000</v>
      </c>
      <c r="AD10" s="1" t="s">
        <v>244</v>
      </c>
      <c r="AE10" s="1" t="s">
        <v>245</v>
      </c>
      <c r="AF10" s="1" t="s">
        <v>246</v>
      </c>
      <c r="AG10" s="1" t="s">
        <v>247</v>
      </c>
      <c r="AH10" s="1"/>
      <c r="AK10" s="35" t="s">
        <v>192</v>
      </c>
      <c r="AL10" s="56">
        <v>15</v>
      </c>
      <c r="AM10" s="56">
        <v>6</v>
      </c>
      <c r="AO10" s="54" t="str">
        <f>IF(PowerUnits[[#This Row],[Name]]=0,"",PowerUnits[[#This Row],[Name]])</f>
        <v/>
      </c>
    </row>
    <row r="11" spans="1:41" ht="12.75" customHeight="1" x14ac:dyDescent="0.25">
      <c r="A11" s="124" t="s">
        <v>424</v>
      </c>
      <c r="B11" s="103" t="s">
        <v>64</v>
      </c>
      <c r="C11" s="104" t="s">
        <v>309</v>
      </c>
      <c r="D11" s="104" t="s">
        <v>263</v>
      </c>
      <c r="E11" s="105">
        <v>32114</v>
      </c>
      <c r="F11" s="106"/>
      <c r="G11" s="105">
        <v>5</v>
      </c>
      <c r="H11" s="114">
        <v>1000</v>
      </c>
      <c r="I11" s="113">
        <v>6.5</v>
      </c>
      <c r="J11" s="108">
        <v>1.1000000000000001</v>
      </c>
      <c r="K11" s="104" t="s">
        <v>258</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138</v>
      </c>
      <c r="X11" s="1" t="s">
        <v>125</v>
      </c>
      <c r="Y11" s="2" t="s">
        <v>139</v>
      </c>
      <c r="Z11" s="2" t="s">
        <v>140</v>
      </c>
      <c r="AA11" s="3">
        <v>2000</v>
      </c>
      <c r="AD11" s="1" t="s">
        <v>191</v>
      </c>
      <c r="AE11" s="1" t="s">
        <v>355</v>
      </c>
      <c r="AF11" s="1" t="s">
        <v>234</v>
      </c>
      <c r="AG11" s="1" t="s">
        <v>235</v>
      </c>
      <c r="AH11" s="1"/>
      <c r="AK11" s="35" t="s">
        <v>193</v>
      </c>
      <c r="AL11" s="56">
        <v>15</v>
      </c>
      <c r="AM11" s="56">
        <v>6</v>
      </c>
      <c r="AO11" s="54" t="str">
        <f>IF(PowerUnits[[#This Row],[Name]]=0,"",PowerUnits[[#This Row],[Name]])</f>
        <v/>
      </c>
    </row>
    <row r="12" spans="1:41" ht="12.75" customHeight="1" x14ac:dyDescent="0.25">
      <c r="A12" s="124" t="s">
        <v>269</v>
      </c>
      <c r="B12" s="103" t="s">
        <v>64</v>
      </c>
      <c r="C12" s="104" t="s">
        <v>309</v>
      </c>
      <c r="D12" s="104" t="s">
        <v>263</v>
      </c>
      <c r="E12" s="114">
        <v>52488</v>
      </c>
      <c r="F12" s="106"/>
      <c r="G12" s="105">
        <v>5</v>
      </c>
      <c r="H12" s="114">
        <v>1000</v>
      </c>
      <c r="I12" s="113">
        <v>7</v>
      </c>
      <c r="J12" s="108">
        <v>1.1000000000000001</v>
      </c>
      <c r="K12" s="104" t="s">
        <v>258</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141</v>
      </c>
      <c r="X12" s="1" t="s">
        <v>125</v>
      </c>
      <c r="Y12" s="2" t="s">
        <v>142</v>
      </c>
      <c r="Z12" s="2" t="s">
        <v>143</v>
      </c>
      <c r="AA12" s="3">
        <v>2000</v>
      </c>
      <c r="AK12" s="35" t="s">
        <v>194</v>
      </c>
      <c r="AL12" s="56">
        <v>15</v>
      </c>
      <c r="AM12" s="56">
        <v>6</v>
      </c>
    </row>
    <row r="13" spans="1:41" ht="12.75" customHeight="1" x14ac:dyDescent="0.25">
      <c r="A13" s="124" t="s">
        <v>271</v>
      </c>
      <c r="B13" s="103" t="s">
        <v>64</v>
      </c>
      <c r="C13" s="104" t="s">
        <v>309</v>
      </c>
      <c r="D13" s="104" t="s">
        <v>263</v>
      </c>
      <c r="E13" s="114">
        <v>32114</v>
      </c>
      <c r="F13" s="106"/>
      <c r="G13" s="105">
        <v>5</v>
      </c>
      <c r="H13" s="105">
        <v>1000</v>
      </c>
      <c r="I13" s="113">
        <v>5</v>
      </c>
      <c r="J13" s="108">
        <v>1.1000000000000001</v>
      </c>
      <c r="K13" s="104" t="s">
        <v>258</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144</v>
      </c>
      <c r="X13" s="1" t="s">
        <v>125</v>
      </c>
      <c r="Y13" s="2" t="s">
        <v>142</v>
      </c>
      <c r="Z13" s="2" t="s">
        <v>143</v>
      </c>
      <c r="AA13" s="4">
        <v>2000</v>
      </c>
      <c r="AK13" s="35" t="s">
        <v>195</v>
      </c>
      <c r="AL13" s="56">
        <v>15</v>
      </c>
      <c r="AM13" s="56">
        <v>2</v>
      </c>
    </row>
    <row r="14" spans="1:41" ht="12.75" customHeight="1" x14ac:dyDescent="0.25">
      <c r="A14" s="124" t="s">
        <v>270</v>
      </c>
      <c r="B14" s="103" t="s">
        <v>64</v>
      </c>
      <c r="C14" s="104" t="s">
        <v>309</v>
      </c>
      <c r="D14" s="104" t="s">
        <v>263</v>
      </c>
      <c r="E14" s="105">
        <v>32114</v>
      </c>
      <c r="F14" s="106"/>
      <c r="G14" s="105">
        <v>5</v>
      </c>
      <c r="H14" s="114">
        <v>1000</v>
      </c>
      <c r="I14" s="113">
        <v>6</v>
      </c>
      <c r="J14" s="108">
        <v>1.1000000000000001</v>
      </c>
      <c r="K14" s="104" t="s">
        <v>258</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145</v>
      </c>
      <c r="X14" s="1" t="s">
        <v>125</v>
      </c>
      <c r="Y14" s="2" t="s">
        <v>146</v>
      </c>
      <c r="Z14" s="2" t="s">
        <v>131</v>
      </c>
      <c r="AA14" s="4">
        <v>1500</v>
      </c>
      <c r="AK14" s="35" t="s">
        <v>196</v>
      </c>
      <c r="AL14" s="56">
        <v>20</v>
      </c>
      <c r="AM14" s="56">
        <v>1</v>
      </c>
    </row>
    <row r="15" spans="1:41" ht="12.75" customHeight="1" x14ac:dyDescent="0.25">
      <c r="A15" s="124" t="s">
        <v>268</v>
      </c>
      <c r="B15" s="103" t="s">
        <v>64</v>
      </c>
      <c r="C15" s="104" t="s">
        <v>309</v>
      </c>
      <c r="D15" s="104" t="s">
        <v>263</v>
      </c>
      <c r="E15" s="105">
        <v>32114</v>
      </c>
      <c r="F15" s="106"/>
      <c r="G15" s="105">
        <v>5</v>
      </c>
      <c r="H15" s="114">
        <v>1000</v>
      </c>
      <c r="I15" s="113">
        <v>6.5</v>
      </c>
      <c r="J15" s="108">
        <v>1.1000000000000001</v>
      </c>
      <c r="K15" s="104" t="s">
        <v>258</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147</v>
      </c>
      <c r="X15" s="1" t="s">
        <v>118</v>
      </c>
      <c r="Y15" s="2" t="s">
        <v>148</v>
      </c>
      <c r="Z15" s="2" t="s">
        <v>149</v>
      </c>
      <c r="AA15" s="4">
        <v>1200</v>
      </c>
      <c r="AK15" s="35" t="s">
        <v>197</v>
      </c>
      <c r="AL15" s="56">
        <v>15</v>
      </c>
      <c r="AM15" s="56">
        <v>3</v>
      </c>
    </row>
    <row r="16" spans="1:41" ht="12.75" customHeight="1" x14ac:dyDescent="0.25">
      <c r="A16" s="124" t="s">
        <v>511</v>
      </c>
      <c r="B16" s="103" t="s">
        <v>64</v>
      </c>
      <c r="C16" s="104" t="s">
        <v>309</v>
      </c>
      <c r="D16" s="104" t="s">
        <v>263</v>
      </c>
      <c r="E16" s="105">
        <v>32114</v>
      </c>
      <c r="F16" s="106"/>
      <c r="G16" s="105">
        <v>5</v>
      </c>
      <c r="H16" s="105">
        <v>1000</v>
      </c>
      <c r="I16" s="107">
        <v>5</v>
      </c>
      <c r="J16" s="108">
        <v>1.1000000000000001</v>
      </c>
      <c r="K16" s="104" t="s">
        <v>258</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150</v>
      </c>
      <c r="X16" s="1" t="s">
        <v>118</v>
      </c>
      <c r="Y16" s="2" t="s">
        <v>151</v>
      </c>
      <c r="Z16" s="2" t="s">
        <v>112</v>
      </c>
      <c r="AA16" s="3">
        <v>1500</v>
      </c>
      <c r="AK16" s="218" t="s">
        <v>252</v>
      </c>
      <c r="AL16" s="218"/>
      <c r="AM16" s="218"/>
    </row>
    <row r="17" spans="1:39" ht="12.75" customHeight="1" x14ac:dyDescent="0.25">
      <c r="A17" s="124" t="s">
        <v>490</v>
      </c>
      <c r="B17" s="103" t="s">
        <v>64</v>
      </c>
      <c r="C17" s="104" t="s">
        <v>309</v>
      </c>
      <c r="D17" s="104" t="s">
        <v>263</v>
      </c>
      <c r="E17" s="105">
        <v>32114</v>
      </c>
      <c r="F17" s="106">
        <v>15000</v>
      </c>
      <c r="G17" s="105">
        <v>5</v>
      </c>
      <c r="H17" s="114">
        <v>1000</v>
      </c>
      <c r="I17" s="116">
        <v>7</v>
      </c>
      <c r="J17" s="108">
        <v>1.1000000000000001</v>
      </c>
      <c r="K17" s="104" t="s">
        <v>258</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152</v>
      </c>
      <c r="X17" s="1" t="s">
        <v>110</v>
      </c>
      <c r="Y17" s="2" t="s">
        <v>153</v>
      </c>
      <c r="Z17" s="2" t="s">
        <v>120</v>
      </c>
      <c r="AA17" s="4">
        <v>2500</v>
      </c>
      <c r="AK17" s="218"/>
      <c r="AL17" s="218"/>
      <c r="AM17" s="218"/>
    </row>
    <row r="18" spans="1:39" ht="12.75" customHeight="1" x14ac:dyDescent="0.25">
      <c r="A18" s="124" t="s">
        <v>497</v>
      </c>
      <c r="B18" s="103" t="s">
        <v>64</v>
      </c>
      <c r="C18" s="104" t="s">
        <v>309</v>
      </c>
      <c r="D18" s="104" t="s">
        <v>263</v>
      </c>
      <c r="E18" s="117">
        <v>52488</v>
      </c>
      <c r="F18" s="106"/>
      <c r="G18" s="105">
        <v>5</v>
      </c>
      <c r="H18" s="105">
        <v>1000</v>
      </c>
      <c r="I18" s="113">
        <v>7</v>
      </c>
      <c r="J18" s="108">
        <v>1.1000000000000001</v>
      </c>
      <c r="K18" s="104" t="s">
        <v>258</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156</v>
      </c>
      <c r="X18" s="1" t="s">
        <v>125</v>
      </c>
      <c r="Y18" s="2" t="s">
        <v>137</v>
      </c>
      <c r="Z18" s="2" t="s">
        <v>123</v>
      </c>
      <c r="AA18" s="4">
        <v>2000</v>
      </c>
      <c r="AK18" s="218"/>
      <c r="AL18" s="218"/>
      <c r="AM18" s="218"/>
    </row>
    <row r="19" spans="1:39" ht="12.75" customHeight="1" x14ac:dyDescent="0.25">
      <c r="A19" s="124" t="s">
        <v>397</v>
      </c>
      <c r="B19" s="103" t="s">
        <v>64</v>
      </c>
      <c r="C19" s="104" t="s">
        <v>310</v>
      </c>
      <c r="D19" s="104" t="s">
        <v>328</v>
      </c>
      <c r="E19" s="105">
        <v>30000</v>
      </c>
      <c r="F19" s="106"/>
      <c r="G19" s="105">
        <v>5</v>
      </c>
      <c r="H19" s="105">
        <v>300</v>
      </c>
      <c r="I19" s="113">
        <v>7.0212765957446823</v>
      </c>
      <c r="J19" s="108">
        <v>1.1000000000000001</v>
      </c>
      <c r="K19" s="104" t="s">
        <v>416</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157</v>
      </c>
      <c r="X19" s="1" t="s">
        <v>110</v>
      </c>
      <c r="Y19" s="2" t="s">
        <v>158</v>
      </c>
      <c r="Z19" s="2" t="s">
        <v>143</v>
      </c>
      <c r="AA19" s="4">
        <v>2000</v>
      </c>
      <c r="AK19" s="218"/>
      <c r="AL19" s="218"/>
      <c r="AM19" s="218"/>
    </row>
    <row r="20" spans="1:39" ht="12.75" customHeight="1" x14ac:dyDescent="0.25">
      <c r="A20" s="124" t="s">
        <v>558</v>
      </c>
      <c r="B20" s="103" t="s">
        <v>64</v>
      </c>
      <c r="C20" s="104" t="s">
        <v>311</v>
      </c>
      <c r="D20" s="104" t="s">
        <v>328</v>
      </c>
      <c r="E20" s="105">
        <v>44080</v>
      </c>
      <c r="F20" s="106"/>
      <c r="G20" s="105">
        <v>5</v>
      </c>
      <c r="H20" s="105">
        <v>2000</v>
      </c>
      <c r="I20" s="115">
        <v>10.90909090909091</v>
      </c>
      <c r="J20" s="108">
        <v>1.1000000000000001</v>
      </c>
      <c r="K20" s="104" t="s">
        <v>415</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159</v>
      </c>
      <c r="X20" s="1" t="s">
        <v>110</v>
      </c>
      <c r="Y20" s="2" t="s">
        <v>160</v>
      </c>
      <c r="Z20" s="2" t="s">
        <v>106</v>
      </c>
      <c r="AA20" s="4">
        <v>2000</v>
      </c>
      <c r="AK20" s="55"/>
      <c r="AL20" s="55"/>
      <c r="AM20" s="55"/>
    </row>
    <row r="21" spans="1:39" ht="12.75" customHeight="1" x14ac:dyDescent="0.25">
      <c r="A21" s="124" t="s">
        <v>277</v>
      </c>
      <c r="B21" s="103" t="s">
        <v>395</v>
      </c>
      <c r="C21" s="103"/>
      <c r="D21" s="103"/>
      <c r="E21" s="105"/>
      <c r="F21" s="106"/>
      <c r="G21" s="105">
        <v>5</v>
      </c>
      <c r="H21" s="105">
        <v>1000</v>
      </c>
      <c r="I21" s="113">
        <v>1.8</v>
      </c>
      <c r="J21" s="118">
        <v>0.1</v>
      </c>
      <c r="K21" s="104" t="s">
        <v>405</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161</v>
      </c>
      <c r="X21" s="1" t="s">
        <v>110</v>
      </c>
      <c r="Y21" s="2" t="s">
        <v>142</v>
      </c>
      <c r="Z21" s="2" t="s">
        <v>120</v>
      </c>
      <c r="AA21" s="3">
        <v>2500</v>
      </c>
    </row>
    <row r="22" spans="1:39" ht="12.75" customHeight="1" x14ac:dyDescent="0.25">
      <c r="A22" s="124" t="s">
        <v>278</v>
      </c>
      <c r="B22" s="103" t="s">
        <v>64</v>
      </c>
      <c r="C22" s="104" t="s">
        <v>312</v>
      </c>
      <c r="D22" s="104" t="s">
        <v>303</v>
      </c>
      <c r="E22" s="114">
        <v>7403</v>
      </c>
      <c r="F22" s="106"/>
      <c r="G22" s="105">
        <v>20</v>
      </c>
      <c r="H22" s="105">
        <v>300</v>
      </c>
      <c r="I22" s="113">
        <v>20</v>
      </c>
      <c r="J22" s="108">
        <v>1.1000000000000001</v>
      </c>
      <c r="K22" s="104" t="s">
        <v>416</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162</v>
      </c>
      <c r="X22" s="1" t="s">
        <v>110</v>
      </c>
      <c r="Y22" s="2" t="s">
        <v>163</v>
      </c>
      <c r="Z22" s="2" t="s">
        <v>106</v>
      </c>
      <c r="AA22" s="4">
        <v>2500</v>
      </c>
    </row>
    <row r="23" spans="1:39" ht="12.75" customHeight="1" x14ac:dyDescent="0.25">
      <c r="A23" s="124" t="s">
        <v>279</v>
      </c>
      <c r="B23" s="103" t="s">
        <v>64</v>
      </c>
      <c r="C23" s="104" t="s">
        <v>313</v>
      </c>
      <c r="D23" s="104" t="s">
        <v>330</v>
      </c>
      <c r="E23" s="105">
        <v>66251</v>
      </c>
      <c r="F23" s="106"/>
      <c r="G23" s="105">
        <v>10</v>
      </c>
      <c r="H23" s="105">
        <v>1000</v>
      </c>
      <c r="I23" s="115">
        <v>12.5</v>
      </c>
      <c r="J23" s="108">
        <v>1.1000000000000001</v>
      </c>
      <c r="K23" s="104" t="s">
        <v>416</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164</v>
      </c>
      <c r="X23" s="1" t="s">
        <v>125</v>
      </c>
      <c r="Y23" s="2" t="s">
        <v>163</v>
      </c>
      <c r="Z23" s="2" t="s">
        <v>149</v>
      </c>
      <c r="AA23" s="4">
        <v>2000</v>
      </c>
    </row>
    <row r="24" spans="1:39" ht="12.75" customHeight="1" x14ac:dyDescent="0.25">
      <c r="A24" s="124" t="s">
        <v>559</v>
      </c>
      <c r="B24" s="103" t="s">
        <v>64</v>
      </c>
      <c r="C24" s="104" t="s">
        <v>313</v>
      </c>
      <c r="D24" s="104" t="s">
        <v>330</v>
      </c>
      <c r="E24" s="105">
        <v>66251</v>
      </c>
      <c r="F24" s="106"/>
      <c r="G24" s="105">
        <v>10</v>
      </c>
      <c r="H24" s="105">
        <v>1000</v>
      </c>
      <c r="I24" s="107">
        <v>11</v>
      </c>
      <c r="J24" s="108">
        <v>1.2</v>
      </c>
      <c r="K24" s="104" t="s">
        <v>416</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165</v>
      </c>
      <c r="X24" s="1" t="s">
        <v>125</v>
      </c>
      <c r="Y24" s="2" t="s">
        <v>146</v>
      </c>
      <c r="Z24" s="2" t="s">
        <v>131</v>
      </c>
      <c r="AA24" s="4">
        <v>1500</v>
      </c>
    </row>
    <row r="25" spans="1:39" ht="12.75" customHeight="1" x14ac:dyDescent="0.25">
      <c r="A25" s="124" t="s">
        <v>280</v>
      </c>
      <c r="B25" s="103" t="s">
        <v>388</v>
      </c>
      <c r="C25" s="103"/>
      <c r="D25" s="103"/>
      <c r="E25" s="105"/>
      <c r="F25" s="106"/>
      <c r="G25" s="105"/>
      <c r="H25" s="105"/>
      <c r="I25" s="113" t="s">
        <v>356</v>
      </c>
      <c r="J25" s="108"/>
      <c r="K25" s="104"/>
      <c r="L25" s="106" t="s">
        <v>356</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166</v>
      </c>
      <c r="X25" s="1" t="s">
        <v>125</v>
      </c>
      <c r="Y25" s="2" t="s">
        <v>167</v>
      </c>
      <c r="Z25" s="2" t="s">
        <v>112</v>
      </c>
      <c r="AA25" s="3">
        <v>2000</v>
      </c>
    </row>
    <row r="26" spans="1:39" ht="12.75" customHeight="1" x14ac:dyDescent="0.25">
      <c r="A26" s="124" t="s">
        <v>281</v>
      </c>
      <c r="B26" s="103" t="s">
        <v>64</v>
      </c>
      <c r="C26" s="104" t="s">
        <v>314</v>
      </c>
      <c r="D26" s="104" t="s">
        <v>328</v>
      </c>
      <c r="E26" s="105">
        <v>57470</v>
      </c>
      <c r="F26" s="106"/>
      <c r="G26" s="105">
        <v>5</v>
      </c>
      <c r="H26" s="105">
        <v>2000</v>
      </c>
      <c r="I26" s="113">
        <v>12.5</v>
      </c>
      <c r="J26" s="108">
        <v>1.1000000000000001</v>
      </c>
      <c r="K26" s="104" t="s">
        <v>415</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168</v>
      </c>
      <c r="X26" s="1" t="s">
        <v>110</v>
      </c>
      <c r="Y26" s="2" t="s">
        <v>169</v>
      </c>
      <c r="Z26" s="2" t="s">
        <v>123</v>
      </c>
      <c r="AA26" s="4">
        <v>2500</v>
      </c>
    </row>
    <row r="27" spans="1:39" ht="12.75" customHeight="1" x14ac:dyDescent="0.25">
      <c r="A27" s="124" t="s">
        <v>282</v>
      </c>
      <c r="B27" s="103" t="s">
        <v>64</v>
      </c>
      <c r="C27" s="104" t="s">
        <v>310</v>
      </c>
      <c r="D27" s="104" t="s">
        <v>328</v>
      </c>
      <c r="E27" s="105">
        <v>57470</v>
      </c>
      <c r="F27" s="106"/>
      <c r="G27" s="105">
        <v>5</v>
      </c>
      <c r="H27" s="105">
        <v>2000</v>
      </c>
      <c r="I27" s="113">
        <v>15</v>
      </c>
      <c r="J27" s="108">
        <v>1.1000000000000001</v>
      </c>
      <c r="K27" s="104" t="s">
        <v>416</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170</v>
      </c>
      <c r="X27" s="1" t="s">
        <v>110</v>
      </c>
      <c r="Y27" s="2" t="s">
        <v>139</v>
      </c>
      <c r="Z27" s="2" t="s">
        <v>123</v>
      </c>
      <c r="AA27" s="4">
        <v>2500</v>
      </c>
    </row>
    <row r="28" spans="1:39" ht="12.75" customHeight="1" x14ac:dyDescent="0.25">
      <c r="A28" s="124" t="s">
        <v>30</v>
      </c>
      <c r="B28" s="103" t="s">
        <v>64</v>
      </c>
      <c r="C28" s="103" t="s">
        <v>313</v>
      </c>
      <c r="D28" s="103" t="s">
        <v>330</v>
      </c>
      <c r="E28" s="105">
        <v>73000</v>
      </c>
      <c r="F28" s="106"/>
      <c r="G28" s="105">
        <v>10</v>
      </c>
      <c r="H28" s="105">
        <v>1000</v>
      </c>
      <c r="I28" s="113">
        <v>9</v>
      </c>
      <c r="J28" s="108">
        <v>1.1000000000000001</v>
      </c>
      <c r="K28" s="104" t="s">
        <v>416</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171</v>
      </c>
      <c r="X28" s="1" t="s">
        <v>125</v>
      </c>
      <c r="Y28" s="2" t="s">
        <v>163</v>
      </c>
      <c r="Z28" s="2" t="s">
        <v>149</v>
      </c>
      <c r="AA28" s="4">
        <v>2000</v>
      </c>
    </row>
    <row r="29" spans="1:39" ht="12.75" customHeight="1" x14ac:dyDescent="0.25">
      <c r="A29" s="124" t="s">
        <v>283</v>
      </c>
      <c r="B29" s="103" t="s">
        <v>64</v>
      </c>
      <c r="C29" s="104" t="s">
        <v>315</v>
      </c>
      <c r="D29" s="104" t="s">
        <v>328</v>
      </c>
      <c r="E29" s="105"/>
      <c r="F29" s="106"/>
      <c r="G29" s="105">
        <v>5</v>
      </c>
      <c r="H29" s="105">
        <v>1000</v>
      </c>
      <c r="I29" s="113">
        <v>18.591549295774648</v>
      </c>
      <c r="J29" s="108">
        <v>1.1000000000000001</v>
      </c>
      <c r="K29" s="104" t="s">
        <v>416</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172</v>
      </c>
      <c r="X29" s="1" t="s">
        <v>125</v>
      </c>
      <c r="Y29" s="2" t="s">
        <v>116</v>
      </c>
      <c r="Z29" s="2" t="s">
        <v>123</v>
      </c>
      <c r="AA29" s="4">
        <v>2000</v>
      </c>
    </row>
    <row r="30" spans="1:39" ht="12.75" customHeight="1" x14ac:dyDescent="0.25">
      <c r="A30" s="124" t="s">
        <v>541</v>
      </c>
      <c r="B30" s="103" t="s">
        <v>57</v>
      </c>
      <c r="C30" s="104" t="s">
        <v>318</v>
      </c>
      <c r="D30" s="104" t="s">
        <v>331</v>
      </c>
      <c r="E30" s="105">
        <v>41983</v>
      </c>
      <c r="F30" s="106"/>
      <c r="G30" s="105">
        <v>5</v>
      </c>
      <c r="H30" s="105">
        <v>1000</v>
      </c>
      <c r="I30" s="113">
        <v>10</v>
      </c>
      <c r="J30" s="108">
        <v>1.1000000000000001</v>
      </c>
      <c r="K30" s="104" t="s">
        <v>416</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173</v>
      </c>
      <c r="X30" s="1" t="s">
        <v>125</v>
      </c>
      <c r="Y30" s="2" t="s">
        <v>174</v>
      </c>
      <c r="Z30" s="2" t="s">
        <v>106</v>
      </c>
      <c r="AA30" s="4">
        <v>1500</v>
      </c>
    </row>
    <row r="31" spans="1:39" ht="12.75" customHeight="1" x14ac:dyDescent="0.25">
      <c r="A31" s="124" t="s">
        <v>542</v>
      </c>
      <c r="B31" s="103" t="s">
        <v>57</v>
      </c>
      <c r="C31" s="104" t="s">
        <v>319</v>
      </c>
      <c r="D31" s="104" t="s">
        <v>331</v>
      </c>
      <c r="E31" s="105">
        <v>120658</v>
      </c>
      <c r="F31" s="106"/>
      <c r="G31" s="105">
        <v>5</v>
      </c>
      <c r="H31" s="105">
        <v>1000</v>
      </c>
      <c r="I31" s="113">
        <v>16</v>
      </c>
      <c r="J31" s="108">
        <v>1.1000000000000001</v>
      </c>
      <c r="K31" s="104" t="s">
        <v>416</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175</v>
      </c>
      <c r="X31" s="1" t="s">
        <v>118</v>
      </c>
      <c r="Y31" s="2" t="s">
        <v>119</v>
      </c>
      <c r="Z31" s="2" t="s">
        <v>120</v>
      </c>
      <c r="AA31" s="3">
        <v>2000</v>
      </c>
    </row>
    <row r="32" spans="1:39" ht="12.75" customHeight="1" x14ac:dyDescent="0.25">
      <c r="A32" s="124" t="s">
        <v>284</v>
      </c>
      <c r="B32" s="103" t="s">
        <v>64</v>
      </c>
      <c r="C32" s="104" t="s">
        <v>320</v>
      </c>
      <c r="D32" s="104" t="s">
        <v>331</v>
      </c>
      <c r="E32" s="117">
        <v>110000</v>
      </c>
      <c r="F32" s="119"/>
      <c r="G32" s="105">
        <v>5</v>
      </c>
      <c r="H32" s="105">
        <v>1000</v>
      </c>
      <c r="I32" s="113">
        <v>6</v>
      </c>
      <c r="J32" s="108">
        <v>1.1000000000000001</v>
      </c>
      <c r="K32" s="104" t="s">
        <v>415</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176</v>
      </c>
      <c r="X32" s="1" t="s">
        <v>118</v>
      </c>
      <c r="Y32" s="2" t="s">
        <v>177</v>
      </c>
      <c r="Z32" s="2" t="s">
        <v>149</v>
      </c>
      <c r="AA32" s="4">
        <v>2500</v>
      </c>
    </row>
    <row r="33" spans="1:27" ht="12.75" customHeight="1" x14ac:dyDescent="0.25">
      <c r="A33" s="124" t="s">
        <v>543</v>
      </c>
      <c r="B33" s="103" t="s">
        <v>57</v>
      </c>
      <c r="C33" s="104" t="s">
        <v>357</v>
      </c>
      <c r="D33" s="104" t="s">
        <v>303</v>
      </c>
      <c r="E33" s="105">
        <v>4090</v>
      </c>
      <c r="F33" s="106"/>
      <c r="G33" s="105">
        <v>5</v>
      </c>
      <c r="H33" s="105">
        <v>3000</v>
      </c>
      <c r="I33" s="113">
        <v>20</v>
      </c>
      <c r="J33" s="108">
        <v>1.1000000000000001</v>
      </c>
      <c r="K33" s="104" t="s">
        <v>416</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178</v>
      </c>
      <c r="X33" s="1" t="s">
        <v>118</v>
      </c>
      <c r="Y33" s="2" t="s">
        <v>122</v>
      </c>
      <c r="Z33" s="2" t="s">
        <v>123</v>
      </c>
      <c r="AA33" s="4">
        <v>1200</v>
      </c>
    </row>
    <row r="34" spans="1:27" ht="12.75" customHeight="1" x14ac:dyDescent="0.25">
      <c r="A34" s="124" t="s">
        <v>544</v>
      </c>
      <c r="B34" s="103" t="s">
        <v>57</v>
      </c>
      <c r="C34" s="104"/>
      <c r="D34" s="104" t="s">
        <v>303</v>
      </c>
      <c r="E34" s="105">
        <v>4090</v>
      </c>
      <c r="F34" s="106"/>
      <c r="G34" s="105">
        <v>5</v>
      </c>
      <c r="H34" s="105">
        <v>3000</v>
      </c>
      <c r="I34" s="113">
        <v>20</v>
      </c>
      <c r="J34" s="108">
        <v>1.1000000000000001</v>
      </c>
      <c r="K34" s="104" t="s">
        <v>416</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179</v>
      </c>
      <c r="X34" s="1" t="s">
        <v>110</v>
      </c>
      <c r="Y34" s="2" t="s">
        <v>180</v>
      </c>
      <c r="Z34" s="2" t="s">
        <v>149</v>
      </c>
      <c r="AA34" s="4">
        <v>1500</v>
      </c>
    </row>
    <row r="35" spans="1:27" ht="12.75" customHeight="1" x14ac:dyDescent="0.25">
      <c r="A35" s="124" t="s">
        <v>285</v>
      </c>
      <c r="B35" s="103" t="s">
        <v>64</v>
      </c>
      <c r="C35" s="104" t="s">
        <v>313</v>
      </c>
      <c r="D35" s="104" t="s">
        <v>330</v>
      </c>
      <c r="E35" s="114">
        <v>66251</v>
      </c>
      <c r="F35" s="106"/>
      <c r="G35" s="105">
        <v>5</v>
      </c>
      <c r="H35" s="105">
        <v>1000</v>
      </c>
      <c r="I35" s="113">
        <v>12</v>
      </c>
      <c r="J35" s="108">
        <v>1.1000000000000001</v>
      </c>
      <c r="K35" s="104" t="s">
        <v>416</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181</v>
      </c>
      <c r="X35" s="1" t="s">
        <v>118</v>
      </c>
      <c r="Y35" s="2" t="s">
        <v>169</v>
      </c>
      <c r="Z35" s="2" t="s">
        <v>149</v>
      </c>
      <c r="AA35" s="4">
        <v>3000</v>
      </c>
    </row>
    <row r="36" spans="1:27" ht="12.75" customHeight="1" x14ac:dyDescent="0.25">
      <c r="A36" s="124" t="s">
        <v>286</v>
      </c>
      <c r="B36" s="103" t="s">
        <v>64</v>
      </c>
      <c r="C36" s="104" t="s">
        <v>321</v>
      </c>
      <c r="D36" s="104" t="s">
        <v>303</v>
      </c>
      <c r="E36" s="120">
        <v>32000</v>
      </c>
      <c r="F36" s="106"/>
      <c r="G36" s="105">
        <v>5</v>
      </c>
      <c r="H36" s="105">
        <v>1000</v>
      </c>
      <c r="I36" s="113">
        <v>10</v>
      </c>
      <c r="J36" s="108">
        <v>1.1000000000000001</v>
      </c>
      <c r="K36" s="104" t="s">
        <v>416</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182</v>
      </c>
      <c r="X36" s="1" t="s">
        <v>118</v>
      </c>
      <c r="Y36" s="2" t="s">
        <v>163</v>
      </c>
      <c r="Z36" s="2" t="s">
        <v>120</v>
      </c>
      <c r="AA36" s="3">
        <v>2000</v>
      </c>
    </row>
    <row r="37" spans="1:27" ht="12.75" customHeight="1" x14ac:dyDescent="0.25">
      <c r="A37" s="124" t="s">
        <v>553</v>
      </c>
      <c r="B37" s="103" t="s">
        <v>395</v>
      </c>
      <c r="C37" s="104" t="s">
        <v>185</v>
      </c>
      <c r="D37" s="104" t="s">
        <v>329</v>
      </c>
      <c r="E37" s="105"/>
      <c r="F37" s="119">
        <v>7500</v>
      </c>
      <c r="G37" s="105">
        <v>10</v>
      </c>
      <c r="H37" s="114">
        <v>2600</v>
      </c>
      <c r="I37" s="113">
        <v>2.25</v>
      </c>
      <c r="J37" s="118">
        <f>5/24</f>
        <v>0.20833333333333334</v>
      </c>
      <c r="K37" s="104" t="s">
        <v>359</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185</v>
      </c>
      <c r="X37" s="45" t="s">
        <v>186</v>
      </c>
      <c r="Y37" s="46">
        <v>0.02</v>
      </c>
      <c r="Z37" s="46">
        <v>1</v>
      </c>
      <c r="AA37" s="58"/>
    </row>
    <row r="38" spans="1:27" ht="12.75" customHeight="1" x14ac:dyDescent="0.25">
      <c r="A38" s="124" t="s">
        <v>554</v>
      </c>
      <c r="B38" s="103" t="s">
        <v>395</v>
      </c>
      <c r="C38" s="104" t="s">
        <v>191</v>
      </c>
      <c r="D38" s="104" t="s">
        <v>355</v>
      </c>
      <c r="E38" s="114">
        <v>70000</v>
      </c>
      <c r="F38" s="106"/>
      <c r="G38" s="105">
        <v>10</v>
      </c>
      <c r="H38" s="105">
        <f>130*20</f>
        <v>2600</v>
      </c>
      <c r="I38" s="113">
        <v>1.8</v>
      </c>
      <c r="J38" s="108">
        <f>1.5/24</f>
        <v>6.25E-2</v>
      </c>
      <c r="K38" s="104" t="s">
        <v>304</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187</v>
      </c>
      <c r="X38" s="60" t="s">
        <v>186</v>
      </c>
      <c r="Y38" s="61">
        <v>0.03</v>
      </c>
      <c r="Z38" s="61">
        <v>1</v>
      </c>
      <c r="AA38" s="62"/>
    </row>
    <row r="39" spans="1:27" ht="12.75" customHeight="1" x14ac:dyDescent="0.25">
      <c r="A39" s="124" t="s">
        <v>555</v>
      </c>
      <c r="B39" s="103" t="s">
        <v>395</v>
      </c>
      <c r="C39" s="104" t="s">
        <v>191</v>
      </c>
      <c r="D39" s="104" t="s">
        <v>355</v>
      </c>
      <c r="E39" s="114">
        <v>75000</v>
      </c>
      <c r="F39" s="106"/>
      <c r="G39" s="105">
        <v>10</v>
      </c>
      <c r="H39" s="105">
        <f>130*20</f>
        <v>2600</v>
      </c>
      <c r="I39" s="113">
        <v>1.8</v>
      </c>
      <c r="J39" s="108">
        <f>2/24</f>
        <v>8.3333333333333329E-2</v>
      </c>
      <c r="K39" s="104" t="s">
        <v>304</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188</v>
      </c>
      <c r="X39" s="45" t="s">
        <v>186</v>
      </c>
      <c r="Y39" s="46">
        <v>0.02</v>
      </c>
      <c r="Z39" s="46">
        <v>1</v>
      </c>
      <c r="AA39" s="58"/>
    </row>
    <row r="40" spans="1:27" ht="12.75" customHeight="1" x14ac:dyDescent="0.25">
      <c r="A40" s="124" t="s">
        <v>556</v>
      </c>
      <c r="B40" s="103" t="s">
        <v>395</v>
      </c>
      <c r="C40" s="104" t="s">
        <v>191</v>
      </c>
      <c r="D40" s="104" t="s">
        <v>355</v>
      </c>
      <c r="E40" s="114">
        <v>70000</v>
      </c>
      <c r="F40" s="106"/>
      <c r="G40" s="105">
        <v>10</v>
      </c>
      <c r="H40" s="105">
        <f>130*20</f>
        <v>2600</v>
      </c>
      <c r="I40" s="113">
        <v>1.8</v>
      </c>
      <c r="J40" s="108">
        <f>1.5/24</f>
        <v>6.25E-2</v>
      </c>
      <c r="K40" s="104" t="s">
        <v>306</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189</v>
      </c>
      <c r="X40" s="60" t="s">
        <v>186</v>
      </c>
      <c r="Y40" s="61">
        <v>0.06</v>
      </c>
      <c r="Z40" s="61">
        <v>1</v>
      </c>
      <c r="AA40" s="62"/>
    </row>
    <row r="41" spans="1:27" ht="12.75" customHeight="1" x14ac:dyDescent="0.25">
      <c r="A41" s="124" t="s">
        <v>557</v>
      </c>
      <c r="B41" s="103" t="s">
        <v>395</v>
      </c>
      <c r="C41" s="104" t="s">
        <v>191</v>
      </c>
      <c r="D41" s="104" t="s">
        <v>355</v>
      </c>
      <c r="E41" s="114">
        <v>75000</v>
      </c>
      <c r="F41" s="106"/>
      <c r="G41" s="105">
        <v>10</v>
      </c>
      <c r="H41" s="105">
        <f>130*20</f>
        <v>2600</v>
      </c>
      <c r="I41" s="113">
        <v>1.8</v>
      </c>
      <c r="J41" s="108">
        <f>2/24</f>
        <v>8.3333333333333329E-2</v>
      </c>
      <c r="K41" s="104" t="s">
        <v>306</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190</v>
      </c>
      <c r="X41" s="45" t="s">
        <v>186</v>
      </c>
      <c r="Y41" s="46">
        <v>0.06</v>
      </c>
      <c r="Z41" s="46">
        <v>1</v>
      </c>
      <c r="AA41" s="58"/>
    </row>
    <row r="42" spans="1:27" ht="12.75" customHeight="1" x14ac:dyDescent="0.25">
      <c r="A42" s="124" t="s">
        <v>287</v>
      </c>
      <c r="B42" s="103" t="s">
        <v>64</v>
      </c>
      <c r="C42" s="104" t="s">
        <v>322</v>
      </c>
      <c r="D42" s="104" t="s">
        <v>330</v>
      </c>
      <c r="E42" s="114">
        <v>72828</v>
      </c>
      <c r="F42" s="106"/>
      <c r="G42" s="105">
        <v>5</v>
      </c>
      <c r="H42" s="105">
        <v>1000</v>
      </c>
      <c r="I42" s="113">
        <v>10</v>
      </c>
      <c r="J42" s="108">
        <v>1.2</v>
      </c>
      <c r="K42" s="104" t="s">
        <v>416</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191</v>
      </c>
      <c r="X42" s="60" t="s">
        <v>186</v>
      </c>
      <c r="Y42" s="61">
        <v>4.1500000000000002E-2</v>
      </c>
      <c r="Z42" s="61">
        <v>1</v>
      </c>
      <c r="AA42" s="62"/>
    </row>
    <row r="43" spans="1:27" ht="12.75" customHeight="1" x14ac:dyDescent="0.25">
      <c r="A43" s="124" t="s">
        <v>288</v>
      </c>
      <c r="B43" s="103" t="s">
        <v>64</v>
      </c>
      <c r="C43" s="104" t="s">
        <v>322</v>
      </c>
      <c r="D43" s="104" t="s">
        <v>330</v>
      </c>
      <c r="E43" s="105">
        <v>72828</v>
      </c>
      <c r="F43" s="106"/>
      <c r="G43" s="105">
        <v>5</v>
      </c>
      <c r="H43" s="105">
        <v>1000</v>
      </c>
      <c r="I43" s="113">
        <v>10</v>
      </c>
      <c r="J43" s="108">
        <v>1.2</v>
      </c>
      <c r="K43" s="104" t="s">
        <v>416</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192</v>
      </c>
      <c r="X43" s="45" t="s">
        <v>186</v>
      </c>
      <c r="Y43" s="46">
        <v>0.06</v>
      </c>
      <c r="Z43" s="46">
        <v>1</v>
      </c>
      <c r="AA43" s="58"/>
    </row>
    <row r="44" spans="1:27" ht="12.75" customHeight="1" x14ac:dyDescent="0.25">
      <c r="A44" s="124" t="s">
        <v>289</v>
      </c>
      <c r="B44" s="103" t="s">
        <v>64</v>
      </c>
      <c r="C44" s="104" t="s">
        <v>322</v>
      </c>
      <c r="D44" s="104" t="s">
        <v>330</v>
      </c>
      <c r="E44" s="114">
        <v>125418</v>
      </c>
      <c r="F44" s="106"/>
      <c r="G44" s="105">
        <v>5</v>
      </c>
      <c r="H44" s="114">
        <v>1000</v>
      </c>
      <c r="I44" s="113">
        <v>10</v>
      </c>
      <c r="J44" s="108">
        <v>1.2</v>
      </c>
      <c r="K44" s="104" t="s">
        <v>416</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193</v>
      </c>
      <c r="X44" s="60" t="s">
        <v>186</v>
      </c>
      <c r="Y44" s="61">
        <v>0.06</v>
      </c>
      <c r="Z44" s="61">
        <v>1</v>
      </c>
      <c r="AA44" s="62"/>
    </row>
    <row r="45" spans="1:27" ht="12.75" customHeight="1" x14ac:dyDescent="0.25">
      <c r="A45" s="124" t="s">
        <v>484</v>
      </c>
      <c r="B45" s="103" t="s">
        <v>64</v>
      </c>
      <c r="C45" s="104" t="s">
        <v>486</v>
      </c>
      <c r="D45" s="104" t="s">
        <v>487</v>
      </c>
      <c r="E45" s="105">
        <v>15239</v>
      </c>
      <c r="F45" s="106"/>
      <c r="G45" s="105">
        <v>5</v>
      </c>
      <c r="H45" s="114">
        <v>1000</v>
      </c>
      <c r="I45" s="113">
        <v>7.5</v>
      </c>
      <c r="J45" s="108">
        <v>1.1000000000000001</v>
      </c>
      <c r="K45" s="104" t="s">
        <v>415</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194</v>
      </c>
      <c r="X45" s="45" t="s">
        <v>186</v>
      </c>
      <c r="Y45" s="46">
        <v>0.06</v>
      </c>
      <c r="Z45" s="46">
        <v>1</v>
      </c>
      <c r="AA45" s="58"/>
    </row>
    <row r="46" spans="1:27" ht="12.75" customHeight="1" x14ac:dyDescent="0.25">
      <c r="A46" s="124" t="s">
        <v>527</v>
      </c>
      <c r="B46" s="103" t="s">
        <v>64</v>
      </c>
      <c r="C46" s="104" t="s">
        <v>316</v>
      </c>
      <c r="D46" s="104" t="s">
        <v>328</v>
      </c>
      <c r="E46" s="105">
        <v>30000</v>
      </c>
      <c r="F46" s="106">
        <v>4500</v>
      </c>
      <c r="G46" s="105">
        <v>5</v>
      </c>
      <c r="H46" s="105">
        <v>1000</v>
      </c>
      <c r="I46" s="113">
        <v>12</v>
      </c>
      <c r="J46" s="108">
        <v>1.1000000000000001</v>
      </c>
      <c r="K46" s="104" t="s">
        <v>416</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195</v>
      </c>
      <c r="X46" s="60" t="s">
        <v>186</v>
      </c>
      <c r="Y46" s="61">
        <v>0.02</v>
      </c>
      <c r="Z46" s="61">
        <v>1</v>
      </c>
      <c r="AA46" s="62"/>
    </row>
    <row r="47" spans="1:27" ht="12.75" customHeight="1" x14ac:dyDescent="0.25">
      <c r="A47" s="124" t="s">
        <v>290</v>
      </c>
      <c r="B47" s="103" t="s">
        <v>64</v>
      </c>
      <c r="C47" s="104" t="s">
        <v>316</v>
      </c>
      <c r="D47" s="104" t="s">
        <v>328</v>
      </c>
      <c r="E47" s="120">
        <v>30000</v>
      </c>
      <c r="F47" s="106"/>
      <c r="G47" s="105">
        <v>5</v>
      </c>
      <c r="H47" s="105">
        <v>1500</v>
      </c>
      <c r="I47" s="115">
        <v>10</v>
      </c>
      <c r="J47" s="108">
        <v>1</v>
      </c>
      <c r="K47" s="104" t="s">
        <v>416</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196</v>
      </c>
      <c r="X47" s="45" t="s">
        <v>186</v>
      </c>
      <c r="Y47" s="46">
        <v>0.01</v>
      </c>
      <c r="Z47" s="46">
        <v>1</v>
      </c>
      <c r="AA47" s="58"/>
    </row>
    <row r="48" spans="1:27" ht="12.75" customHeight="1" x14ac:dyDescent="0.25">
      <c r="A48" s="124" t="s">
        <v>560</v>
      </c>
      <c r="B48" s="103" t="s">
        <v>64</v>
      </c>
      <c r="C48" s="104" t="s">
        <v>322</v>
      </c>
      <c r="D48" s="104" t="s">
        <v>328</v>
      </c>
      <c r="E48" s="120">
        <v>77828</v>
      </c>
      <c r="F48" s="106"/>
      <c r="G48" s="105">
        <v>5</v>
      </c>
      <c r="H48" s="105">
        <v>1500</v>
      </c>
      <c r="I48" s="113">
        <v>10</v>
      </c>
      <c r="J48" s="108">
        <v>1.2</v>
      </c>
      <c r="K48" s="104" t="s">
        <v>416</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197</v>
      </c>
      <c r="X48" s="45" t="s">
        <v>186</v>
      </c>
      <c r="Y48" s="46">
        <v>0.03</v>
      </c>
      <c r="Z48" s="46">
        <v>1</v>
      </c>
      <c r="AA48" s="58"/>
    </row>
    <row r="49" spans="1:21" ht="12.75" customHeight="1" x14ac:dyDescent="0.2">
      <c r="A49" s="124" t="s">
        <v>291</v>
      </c>
      <c r="B49" s="103" t="s">
        <v>64</v>
      </c>
      <c r="C49" s="104" t="s">
        <v>323</v>
      </c>
      <c r="D49" s="104" t="s">
        <v>328</v>
      </c>
      <c r="E49" s="105"/>
      <c r="F49" s="106">
        <v>7500</v>
      </c>
      <c r="G49" s="105">
        <v>5</v>
      </c>
      <c r="H49" s="105">
        <v>1000</v>
      </c>
      <c r="I49" s="113">
        <v>13.200000000000001</v>
      </c>
      <c r="J49" s="108">
        <v>1</v>
      </c>
      <c r="K49" s="104" t="s">
        <v>416</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498</v>
      </c>
      <c r="B50" s="103" t="s">
        <v>64</v>
      </c>
      <c r="C50" s="104" t="s">
        <v>323</v>
      </c>
      <c r="D50" s="104" t="s">
        <v>328</v>
      </c>
      <c r="E50" s="105"/>
      <c r="F50" s="106">
        <v>7500</v>
      </c>
      <c r="G50" s="105">
        <v>5</v>
      </c>
      <c r="H50" s="105">
        <v>1000</v>
      </c>
      <c r="I50" s="113">
        <v>13.200000000000001</v>
      </c>
      <c r="J50" s="108">
        <v>1.2</v>
      </c>
      <c r="K50" s="104" t="s">
        <v>416</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292</v>
      </c>
      <c r="B51" s="103" t="s">
        <v>64</v>
      </c>
      <c r="C51" s="104" t="s">
        <v>314</v>
      </c>
      <c r="D51" s="104" t="s">
        <v>328</v>
      </c>
      <c r="E51" s="105"/>
      <c r="F51" s="106"/>
      <c r="G51" s="105">
        <v>5</v>
      </c>
      <c r="H51" s="105">
        <v>300</v>
      </c>
      <c r="I51" s="115">
        <v>9</v>
      </c>
      <c r="J51" s="108">
        <v>1</v>
      </c>
      <c r="K51" s="104" t="s">
        <v>416</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485</v>
      </c>
      <c r="B52" s="103" t="s">
        <v>64</v>
      </c>
      <c r="C52" s="104" t="s">
        <v>314</v>
      </c>
      <c r="D52" s="104" t="s">
        <v>328</v>
      </c>
      <c r="E52" s="120">
        <v>30000</v>
      </c>
      <c r="F52" s="106"/>
      <c r="G52" s="105">
        <v>5</v>
      </c>
      <c r="H52" s="105">
        <v>1000</v>
      </c>
      <c r="I52" s="113">
        <v>10</v>
      </c>
      <c r="J52" s="108">
        <v>1</v>
      </c>
      <c r="K52" s="104" t="s">
        <v>416</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540</v>
      </c>
      <c r="B53" s="103" t="s">
        <v>64</v>
      </c>
      <c r="C53" s="104" t="s">
        <v>317</v>
      </c>
      <c r="D53" s="104" t="s">
        <v>328</v>
      </c>
      <c r="E53" s="105">
        <v>25000</v>
      </c>
      <c r="F53" s="106">
        <v>3000</v>
      </c>
      <c r="G53" s="105">
        <v>5</v>
      </c>
      <c r="H53" s="105">
        <v>1000</v>
      </c>
      <c r="I53" s="113">
        <v>14.666666666666668</v>
      </c>
      <c r="J53" s="108">
        <v>1.1000000000000001</v>
      </c>
      <c r="K53" s="104" t="s">
        <v>416</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293</v>
      </c>
      <c r="B54" s="103" t="s">
        <v>64</v>
      </c>
      <c r="C54" s="104" t="s">
        <v>316</v>
      </c>
      <c r="D54" s="104" t="s">
        <v>328</v>
      </c>
      <c r="E54" s="105">
        <v>30000</v>
      </c>
      <c r="F54" s="106"/>
      <c r="G54" s="105">
        <v>5</v>
      </c>
      <c r="H54" s="105">
        <v>1000</v>
      </c>
      <c r="I54" s="115">
        <v>11</v>
      </c>
      <c r="J54" s="108">
        <v>1.1000000000000001</v>
      </c>
      <c r="K54" s="104" t="s">
        <v>416</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294</v>
      </c>
      <c r="B55" s="103" t="s">
        <v>64</v>
      </c>
      <c r="C55" s="103" t="s">
        <v>313</v>
      </c>
      <c r="D55" s="103" t="s">
        <v>330</v>
      </c>
      <c r="E55" s="120">
        <v>62545</v>
      </c>
      <c r="F55" s="106"/>
      <c r="G55" s="105">
        <v>5</v>
      </c>
      <c r="H55" s="105">
        <v>1000</v>
      </c>
      <c r="I55" s="113">
        <v>8</v>
      </c>
      <c r="J55" s="108">
        <v>1.2</v>
      </c>
      <c r="K55" s="104" t="s">
        <v>416</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64</v>
      </c>
      <c r="C56" s="104" t="s">
        <v>325</v>
      </c>
      <c r="D56" s="104" t="s">
        <v>329</v>
      </c>
      <c r="E56" s="105">
        <v>36000</v>
      </c>
      <c r="F56" s="106"/>
      <c r="G56" s="105">
        <v>5</v>
      </c>
      <c r="H56" s="105">
        <v>2500</v>
      </c>
      <c r="I56" s="115">
        <v>25</v>
      </c>
      <c r="J56" s="108">
        <v>1.25</v>
      </c>
      <c r="K56" s="104" t="s">
        <v>416</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488</v>
      </c>
      <c r="B57" s="103" t="s">
        <v>64</v>
      </c>
      <c r="C57" s="104" t="s">
        <v>325</v>
      </c>
      <c r="D57" s="104" t="s">
        <v>329</v>
      </c>
      <c r="E57" s="105">
        <v>36000</v>
      </c>
      <c r="F57" s="106"/>
      <c r="G57" s="105">
        <v>5</v>
      </c>
      <c r="H57" s="105">
        <v>2500</v>
      </c>
      <c r="I57" s="115">
        <v>25</v>
      </c>
      <c r="J57" s="108">
        <v>1.25</v>
      </c>
      <c r="K57" s="104" t="s">
        <v>416</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499</v>
      </c>
      <c r="B58" s="103" t="s">
        <v>64</v>
      </c>
      <c r="C58" s="104" t="s">
        <v>326</v>
      </c>
      <c r="D58" s="104" t="s">
        <v>329</v>
      </c>
      <c r="E58" s="105">
        <v>36000</v>
      </c>
      <c r="F58" s="106"/>
      <c r="G58" s="105">
        <v>5</v>
      </c>
      <c r="H58" s="105">
        <v>1000</v>
      </c>
      <c r="I58" s="113">
        <v>25</v>
      </c>
      <c r="J58" s="108">
        <v>1.25</v>
      </c>
      <c r="K58" s="104" t="s">
        <v>416</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561</v>
      </c>
      <c r="B59" s="103" t="s">
        <v>64</v>
      </c>
      <c r="C59" s="104" t="s">
        <v>326</v>
      </c>
      <c r="D59" s="104" t="s">
        <v>329</v>
      </c>
      <c r="E59" s="105">
        <v>36000</v>
      </c>
      <c r="F59" s="106"/>
      <c r="G59" s="105">
        <v>5</v>
      </c>
      <c r="H59" s="105">
        <v>1000</v>
      </c>
      <c r="I59" s="113">
        <v>25</v>
      </c>
      <c r="J59" s="108">
        <v>1.25</v>
      </c>
      <c r="K59" s="104" t="s">
        <v>416</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534</v>
      </c>
      <c r="B60" s="103" t="s">
        <v>64</v>
      </c>
      <c r="C60" s="104" t="s">
        <v>325</v>
      </c>
      <c r="D60" s="104" t="s">
        <v>329</v>
      </c>
      <c r="E60" s="105">
        <v>36000</v>
      </c>
      <c r="F60" s="106"/>
      <c r="G60" s="105">
        <v>5</v>
      </c>
      <c r="H60" s="105">
        <v>2500</v>
      </c>
      <c r="I60" s="115">
        <v>25</v>
      </c>
      <c r="J60" s="108">
        <v>1.25</v>
      </c>
      <c r="K60" s="104" t="s">
        <v>416</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545</v>
      </c>
      <c r="B61" s="103" t="s">
        <v>64</v>
      </c>
      <c r="C61" s="103"/>
      <c r="D61" s="103"/>
      <c r="E61" s="105"/>
      <c r="F61" s="119"/>
      <c r="G61" s="105">
        <v>5</v>
      </c>
      <c r="H61" s="105">
        <v>1000</v>
      </c>
      <c r="I61" s="115">
        <v>12.7</v>
      </c>
      <c r="J61" s="108">
        <v>1</v>
      </c>
      <c r="K61" s="104" t="s">
        <v>416</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562</v>
      </c>
      <c r="B62" s="103" t="s">
        <v>3</v>
      </c>
      <c r="C62" s="103"/>
      <c r="D62" s="103"/>
      <c r="E62" s="105"/>
      <c r="F62" s="106"/>
      <c r="G62" s="105"/>
      <c r="H62" s="105"/>
      <c r="I62" s="113"/>
      <c r="J62" s="108"/>
      <c r="K62" s="104"/>
      <c r="L62" s="106" t="s">
        <v>356</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547</v>
      </c>
      <c r="B63" s="103" t="s">
        <v>57</v>
      </c>
      <c r="C63" s="104" t="s">
        <v>457</v>
      </c>
      <c r="D63" s="104" t="s">
        <v>303</v>
      </c>
      <c r="E63" s="105">
        <v>13000</v>
      </c>
      <c r="F63" s="106"/>
      <c r="G63" s="105">
        <v>5</v>
      </c>
      <c r="H63" s="105">
        <v>1250</v>
      </c>
      <c r="I63" s="115">
        <v>10</v>
      </c>
      <c r="J63" s="108">
        <v>1</v>
      </c>
      <c r="K63" s="104" t="s">
        <v>416</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295</v>
      </c>
      <c r="B64" s="103" t="s">
        <v>64</v>
      </c>
      <c r="C64" s="104" t="s">
        <v>307</v>
      </c>
      <c r="D64" s="104" t="s">
        <v>328</v>
      </c>
      <c r="E64" s="105">
        <v>30000</v>
      </c>
      <c r="F64" s="106"/>
      <c r="G64" s="105">
        <v>5</v>
      </c>
      <c r="H64" s="105">
        <v>500</v>
      </c>
      <c r="I64" s="113">
        <v>9</v>
      </c>
      <c r="J64" s="108">
        <v>1</v>
      </c>
      <c r="K64" s="104" t="s">
        <v>415</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563</v>
      </c>
      <c r="B65" s="103" t="s">
        <v>64</v>
      </c>
      <c r="C65" s="104" t="s">
        <v>513</v>
      </c>
      <c r="D65" s="104" t="s">
        <v>303</v>
      </c>
      <c r="E65" s="105">
        <v>0</v>
      </c>
      <c r="F65" s="106"/>
      <c r="G65" s="105">
        <v>5</v>
      </c>
      <c r="H65" s="105">
        <v>2000</v>
      </c>
      <c r="I65" s="115">
        <v>10</v>
      </c>
      <c r="J65" s="108">
        <v>1</v>
      </c>
      <c r="K65" s="104" t="s">
        <v>302</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296</v>
      </c>
      <c r="B66" s="103" t="s">
        <v>64</v>
      </c>
      <c r="C66" s="104" t="s">
        <v>322</v>
      </c>
      <c r="D66" s="104" t="s">
        <v>330</v>
      </c>
      <c r="E66" s="117">
        <v>48000</v>
      </c>
      <c r="F66" s="106"/>
      <c r="G66" s="105">
        <v>5</v>
      </c>
      <c r="H66" s="105">
        <v>1000</v>
      </c>
      <c r="I66" s="113">
        <v>6</v>
      </c>
      <c r="J66" s="108">
        <v>1.1000000000000001</v>
      </c>
      <c r="K66" s="104" t="s">
        <v>415</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297</v>
      </c>
      <c r="B67" s="103" t="s">
        <v>64</v>
      </c>
      <c r="C67" s="104" t="s">
        <v>327</v>
      </c>
      <c r="D67" s="104" t="s">
        <v>303</v>
      </c>
      <c r="E67" s="105">
        <v>50000</v>
      </c>
      <c r="F67" s="119"/>
      <c r="G67" s="105">
        <v>5</v>
      </c>
      <c r="H67" s="105">
        <v>1000</v>
      </c>
      <c r="I67" s="113">
        <v>5.7894736842105274</v>
      </c>
      <c r="J67" s="108">
        <v>1</v>
      </c>
      <c r="K67" s="104" t="s">
        <v>416</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298</v>
      </c>
      <c r="B68" s="103" t="s">
        <v>3</v>
      </c>
      <c r="C68" s="103"/>
      <c r="D68" s="103"/>
      <c r="E68" s="105"/>
      <c r="F68" s="106"/>
      <c r="G68" s="105">
        <v>5</v>
      </c>
      <c r="H68" s="105"/>
      <c r="I68" s="113" t="s">
        <v>356</v>
      </c>
      <c r="J68" s="108"/>
      <c r="K68" s="104" t="s">
        <v>415</v>
      </c>
      <c r="L68" s="106" t="s">
        <v>356</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299</v>
      </c>
      <c r="B69" s="103" t="s">
        <v>64</v>
      </c>
      <c r="C69" s="104" t="s">
        <v>312</v>
      </c>
      <c r="D69" s="104" t="s">
        <v>303</v>
      </c>
      <c r="E69" s="105">
        <v>7403</v>
      </c>
      <c r="F69" s="106"/>
      <c r="G69" s="105">
        <v>5</v>
      </c>
      <c r="H69" s="105">
        <v>1000</v>
      </c>
      <c r="I69" s="115">
        <v>12</v>
      </c>
      <c r="J69" s="108">
        <v>1</v>
      </c>
      <c r="K69" s="104" t="s">
        <v>416</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300</v>
      </c>
      <c r="B70" s="103" t="s">
        <v>64</v>
      </c>
      <c r="C70" s="104" t="s">
        <v>513</v>
      </c>
      <c r="D70" s="104" t="s">
        <v>303</v>
      </c>
      <c r="E70" s="105">
        <v>0</v>
      </c>
      <c r="F70" s="106"/>
      <c r="G70" s="105">
        <v>5</v>
      </c>
      <c r="H70" s="105">
        <v>3000</v>
      </c>
      <c r="I70" s="113">
        <v>10</v>
      </c>
      <c r="J70" s="108">
        <v>1</v>
      </c>
      <c r="K70" s="104" t="s">
        <v>302</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7">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42-Grass</v>
      </c>
      <c r="B2" s="131"/>
      <c r="C2" s="132"/>
      <c r="D2" s="132"/>
      <c r="E2" s="131"/>
      <c r="I2" s="186" t="s">
        <v>501</v>
      </c>
      <c r="J2" s="131" t="s">
        <v>502</v>
      </c>
      <c r="L2" s="134" t="str">
        <f>'General Variables'!A3&amp;" "&amp;'General Variables'!B3</f>
        <v>Year 2016</v>
      </c>
      <c r="O2" s="135" t="s">
        <v>407</v>
      </c>
    </row>
    <row r="3" spans="1:15" hidden="1" x14ac:dyDescent="0.2">
      <c r="A3" s="130" t="s">
        <v>88</v>
      </c>
      <c r="B3" s="131"/>
      <c r="C3" s="132"/>
      <c r="D3" s="132"/>
      <c r="E3" s="131"/>
      <c r="G3" s="136"/>
      <c r="H3" s="129">
        <v>2</v>
      </c>
      <c r="I3" s="131" t="s">
        <v>539</v>
      </c>
      <c r="O3" s="135" t="s">
        <v>406</v>
      </c>
    </row>
    <row r="4" spans="1:15" hidden="1" x14ac:dyDescent="0.2">
      <c r="A4" s="130"/>
      <c r="B4" s="130"/>
      <c r="C4" s="132"/>
      <c r="D4" s="132"/>
      <c r="E4" s="131"/>
      <c r="F4" s="131"/>
      <c r="G4" s="131"/>
      <c r="H4" s="131"/>
      <c r="I4" s="131"/>
      <c r="J4" s="134" t="s">
        <v>504</v>
      </c>
      <c r="K4" s="140"/>
      <c r="O4" s="135">
        <f>B4</f>
        <v>0</v>
      </c>
    </row>
    <row r="5" spans="1:15" ht="15.75" hidden="1" x14ac:dyDescent="0.25">
      <c r="A5" s="219" t="str">
        <f ca="1" xml:space="preserve"> A2  &amp; IF(C2="","",  ", " &amp;C2 ) &amp; ", " &amp; A3 &amp; ", " &amp; I2</f>
        <v>42-Grass, Fall Establishment, Pivot Irrigated</v>
      </c>
      <c r="B5" s="219"/>
      <c r="C5" s="219"/>
      <c r="D5" s="219"/>
      <c r="E5" s="219"/>
      <c r="F5" s="219"/>
      <c r="G5" s="219"/>
      <c r="H5" s="219"/>
      <c r="I5" s="219"/>
      <c r="J5" s="219"/>
      <c r="K5" s="219"/>
      <c r="L5" s="219"/>
      <c r="O5" s="135"/>
    </row>
    <row r="6" spans="1:15" ht="15.75" hidden="1" x14ac:dyDescent="0.25">
      <c r="A6" s="194"/>
      <c r="B6" s="194"/>
      <c r="C6" s="194"/>
      <c r="D6" s="194"/>
      <c r="E6" s="194"/>
      <c r="F6" s="194"/>
      <c r="G6" s="194"/>
      <c r="H6" s="194"/>
      <c r="I6" s="194"/>
      <c r="J6" s="194"/>
      <c r="K6" s="194"/>
      <c r="L6" s="194"/>
      <c r="O6" s="135"/>
    </row>
    <row r="7" spans="1:15" ht="30" customHeight="1" x14ac:dyDescent="0.25">
      <c r="A7" s="219" t="str">
        <f ca="1">'General Variables'!B3 &amp; " Budget "  &amp; A2 &amp;", "  &amp; IF(C2=0,"", " " &amp; C2 &amp; ", ") &amp;  A3 &amp; IF(A4=""," ", " (") &amp; A4 &amp; " " &amp; B4 &amp; IF(A4="",""," Actual Yield)")</f>
        <v xml:space="preserve">2016 Budget 42-Grass, Fall Establishment  </v>
      </c>
      <c r="B7" s="219"/>
      <c r="C7" s="219"/>
      <c r="D7" s="219"/>
      <c r="E7" s="219"/>
      <c r="F7" s="219"/>
      <c r="G7" s="219"/>
      <c r="H7" s="219"/>
      <c r="I7" s="219"/>
      <c r="J7" s="219"/>
      <c r="K7" s="219"/>
      <c r="L7" s="219"/>
      <c r="O7" s="135"/>
    </row>
    <row r="8" spans="1:15" ht="15.75" x14ac:dyDescent="0.25">
      <c r="A8" s="188" t="str">
        <f>IF(I2="Dryland","Dryland",I2 &amp; IF(J2="","",", "&amp;J2)&amp;IF(H3="","",", "&amp;H3&amp;" "&amp;I3))</f>
        <v>Pivot Irrigated, 800 GPM 35 PSI, 2 acre/inches</v>
      </c>
      <c r="B8" s="130"/>
      <c r="C8" s="132"/>
      <c r="D8" s="132"/>
      <c r="E8" s="131"/>
      <c r="F8" s="131"/>
      <c r="G8" s="131"/>
      <c r="H8" s="131"/>
      <c r="I8" s="131"/>
      <c r="O8" s="135"/>
    </row>
    <row r="10" spans="1:15" s="140" customFormat="1" ht="22.5" customHeight="1" x14ac:dyDescent="0.2">
      <c r="B10" s="228" t="s">
        <v>71</v>
      </c>
      <c r="C10" s="227" t="s">
        <v>1</v>
      </c>
      <c r="D10" s="198"/>
      <c r="E10" s="227" t="str">
        <f>"Labor @ $" &amp;TEXT('General Variables'!B4,"#.00")&amp; " /Hr"</f>
        <v>Labor @ $20.00 /Hr</v>
      </c>
      <c r="F10" s="227" t="str">
        <f>"Fuel @ $" &amp; TEXT('General Variables'!B5,"#.00") &amp; " and Lube"</f>
        <v>Fuel @ $2.25 and Lube</v>
      </c>
      <c r="G10" s="230" t="s">
        <v>72</v>
      </c>
      <c r="H10" s="230"/>
      <c r="I10" s="230" t="s">
        <v>354</v>
      </c>
      <c r="J10" s="230"/>
      <c r="K10" s="230" t="s">
        <v>2</v>
      </c>
      <c r="L10" s="227" t="s">
        <v>361</v>
      </c>
    </row>
    <row r="11" spans="1:15" s="140" customFormat="1" ht="21.75" customHeight="1" thickBot="1" x14ac:dyDescent="0.25">
      <c r="B11" s="229"/>
      <c r="C11" s="226"/>
      <c r="D11" s="197" t="s">
        <v>70</v>
      </c>
      <c r="E11" s="226"/>
      <c r="F11" s="226"/>
      <c r="G11" s="199" t="s">
        <v>73</v>
      </c>
      <c r="H11" s="199" t="s">
        <v>75</v>
      </c>
      <c r="I11" s="199" t="s">
        <v>73</v>
      </c>
      <c r="J11" s="199" t="s">
        <v>75</v>
      </c>
      <c r="K11" s="231"/>
      <c r="L11" s="226"/>
    </row>
    <row r="12" spans="1:15" ht="13.5" thickTop="1" x14ac:dyDescent="0.2">
      <c r="A12" s="196">
        <v>1</v>
      </c>
      <c r="B12" s="203" t="s">
        <v>558</v>
      </c>
      <c r="C12" s="205">
        <v>1</v>
      </c>
      <c r="D12" s="200"/>
      <c r="E12" s="142">
        <f>IF(B12=0,"",IF(C12&gt;9999,"",ROUND('General Variables'!$B$4*VLOOKUP(B12,Operations!$A$2:$U$101,10,FALSE)/VLOOKUP(B12,Operations!$A$2:$U$101,9,FALSE)*C12,2)))</f>
        <v>2.02</v>
      </c>
      <c r="F12" s="142">
        <f>IF(B12=0,0,IF(C12&gt;9999,"",ROUND(IF(VLOOKUP(B12,Operations!$A$2:$U$101,12,FALSE)=0,VLOOKUP(B12,Operations!$A$2:$U$101,13,FALSE)*'General Variables'!$B$8,VLOOKUP(B12,Operations!$A$2:$U$101,12,FALSE)*'General Variables'!$B$7)/VLOOKUP(B12,Operations!$A$2:$U$101,9,FALSE)*C12,2)))</f>
        <v>1.97</v>
      </c>
      <c r="G12" s="142">
        <f>IF(B12=0,0,IF(C12&gt;9999,"",ROUND(VLOOKUP(VLOOKUP(B12,Operations!$A$2:$U$101,11,FALSE),PowerUnits[],10,FALSE)/VLOOKUP(B12,Operations!$A$2:$U$101,9,FALSE)*C12,2)))</f>
        <v>0.28999999999999998</v>
      </c>
      <c r="H12" s="142">
        <f>IF(B12=0,"",IF(C12&gt;9999,"",ROUND(VLOOKUP($B12,Operations!$A$2:$U$101,15,FALSE)*C12,2)))</f>
        <v>1.24</v>
      </c>
      <c r="I12" s="142">
        <f>IF(B12=0,0,IF(C12&gt;9999,"",ROUND(VLOOKUP(VLOOKUP(B12,Operations!$A$2:$U$101,11,FALSE),PowerUnits[],16,FALSE)/VLOOKUP(B12,Operations!$A$2:$U$101,9,FALSE)*C12,2)))</f>
        <v>4.1399999999999997</v>
      </c>
      <c r="J12" s="142">
        <f>IF(B12=0,"",IF(C12&gt;9999,"",ROUND(VLOOKUP($B12,Operations!$A$2:$U$101,21,FALSE)*$C12,2)))</f>
        <v>1.21</v>
      </c>
      <c r="K12" s="142">
        <f>IF(C12&gt;9999,"",ROUND(SUM(E12:J12),2))</f>
        <v>10.87</v>
      </c>
      <c r="L12" s="143"/>
    </row>
    <row r="13" spans="1:15" x14ac:dyDescent="0.2">
      <c r="A13" s="196">
        <v>2</v>
      </c>
      <c r="B13" s="203" t="s">
        <v>282</v>
      </c>
      <c r="C13" s="205">
        <v>1</v>
      </c>
      <c r="D13" s="200"/>
      <c r="E13" s="142">
        <f>IF(B13=0,"",IF(C13&gt;9999,"",ROUND('General Variables'!$B$4*VLOOKUP(B13,Operations!$A$2:$U$101,10,FALSE)/VLOOKUP(B13,Operations!$A$2:$U$101,9,FALSE)*C13,2)))</f>
        <v>1.47</v>
      </c>
      <c r="F13" s="142">
        <f>IF(B13=0,0,IF(C13&gt;9999,"",ROUND(IF(VLOOKUP(B13,Operations!$A$2:$U$101,12,FALSE)=0,VLOOKUP(B13,Operations!$A$2:$U$101,13,FALSE)*'General Variables'!$B$8,VLOOKUP(B13,Operations!$A$2:$U$101,12,FALSE)*'General Variables'!$B$7)/VLOOKUP(B13,Operations!$A$2:$U$101,9,FALSE)*C13,2)))</f>
        <v>1.41</v>
      </c>
      <c r="G13" s="142">
        <f>IF(B13=0,0,IF(C13&gt;9999,"",ROUND(VLOOKUP(VLOOKUP(B13,Operations!$A$2:$U$101,11,FALSE),PowerUnits[],10,FALSE)/VLOOKUP(B13,Operations!$A$2:$U$101,9,FALSE)*C13,2)))</f>
        <v>0.56000000000000005</v>
      </c>
      <c r="H13" s="142">
        <f>IF(B13=0,"",IF(C13&gt;9999,"",ROUND(VLOOKUP($B13,Operations!$A$2:$U$101,15,FALSE)*C13,2)))</f>
        <v>1.28</v>
      </c>
      <c r="I13" s="142">
        <f>IF(B13=0,0,IF(C13&gt;9999,"",ROUND(VLOOKUP(VLOOKUP(B13,Operations!$A$2:$U$101,11,FALSE),PowerUnits[],16,FALSE)/VLOOKUP(B13,Operations!$A$2:$U$101,9,FALSE)*C13,2)))</f>
        <v>1.84</v>
      </c>
      <c r="J13" s="142">
        <f>IF(B13=0,"",IF(C13&gt;9999,"",ROUND(VLOOKUP($B13,Operations!$A$2:$U$101,21,FALSE)*$C13,2)))</f>
        <v>1.57</v>
      </c>
      <c r="K13" s="142">
        <f t="shared" ref="K13:K31" si="0">IF(C13&gt;9999,"",ROUND(SUM(E13:J13),2))</f>
        <v>8.1300000000000008</v>
      </c>
      <c r="L13" s="143"/>
    </row>
    <row r="14" spans="1:15" x14ac:dyDescent="0.2">
      <c r="A14" s="196">
        <v>3</v>
      </c>
      <c r="B14" s="203" t="s">
        <v>292</v>
      </c>
      <c r="C14" s="205">
        <v>1</v>
      </c>
      <c r="D14" s="200"/>
      <c r="E14" s="142">
        <f>IF(B14=0,"",IF(C14&gt;9999,"",ROUND('General Variables'!$B$4*VLOOKUP(B14,Operations!$A$2:$U$101,10,FALSE)/VLOOKUP(B14,Operations!$A$2:$U$101,9,FALSE)*C14,2)))</f>
        <v>2.2200000000000002</v>
      </c>
      <c r="F14" s="142">
        <f>IF(B14=0,0,IF(C14&gt;9999,"",ROUND(IF(VLOOKUP(B14,Operations!$A$2:$U$101,12,FALSE)=0,VLOOKUP(B14,Operations!$A$2:$U$101,13,FALSE)*'General Variables'!$B$8,VLOOKUP(B14,Operations!$A$2:$U$101,12,FALSE)*'General Variables'!$B$7)/VLOOKUP(B14,Operations!$A$2:$U$101,9,FALSE)*C14,2)))</f>
        <v>1.57</v>
      </c>
      <c r="G14" s="142">
        <f>IF(B14=0,0,IF(C14&gt;9999,"",ROUND(VLOOKUP(VLOOKUP(B14,Operations!$A$2:$U$101,11,FALSE),PowerUnits[],10,FALSE)/VLOOKUP(B14,Operations!$A$2:$U$101,9,FALSE)*C14,2)))</f>
        <v>0.93</v>
      </c>
      <c r="H14" s="142">
        <f>IF(B14=0,"",IF(C14&gt;9999,"",ROUND(VLOOKUP($B14,Operations!$A$2:$U$101,15,FALSE)*C14,2)))</f>
        <v>0</v>
      </c>
      <c r="I14" s="142">
        <f>IF(B14=0,0,IF(C14&gt;9999,"",ROUND(VLOOKUP(VLOOKUP(B14,Operations!$A$2:$U$101,11,FALSE),PowerUnits[],16,FALSE)/VLOOKUP(B14,Operations!$A$2:$U$101,9,FALSE)*C14,2)))</f>
        <v>3.07</v>
      </c>
      <c r="J14" s="142">
        <f>IF(B14=0,"",IF(C14&gt;9999,"",ROUND(VLOOKUP($B14,Operations!$A$2:$U$101,21,FALSE)*$C14,2)))</f>
        <v>0</v>
      </c>
      <c r="K14" s="142">
        <f t="shared" si="0"/>
        <v>7.79</v>
      </c>
      <c r="L14" s="143"/>
    </row>
    <row r="15" spans="1:15" x14ac:dyDescent="0.2">
      <c r="A15" s="196">
        <v>4</v>
      </c>
      <c r="B15" s="203" t="s">
        <v>30</v>
      </c>
      <c r="C15" s="205">
        <v>1</v>
      </c>
      <c r="D15" s="200"/>
      <c r="E15" s="142">
        <f>IF(B15=0,"",IF(C15&gt;9999,"",ROUND('General Variables'!$B$4*VLOOKUP(B15,Operations!$A$2:$U$101,10,FALSE)/VLOOKUP(B15,Operations!$A$2:$U$101,9,FALSE)*C15,2)))</f>
        <v>2.44</v>
      </c>
      <c r="F15" s="142">
        <f>IF(B15=0,0,IF(C15&gt;9999,"",ROUND(IF(VLOOKUP(B15,Operations!$A$2:$U$101,12,FALSE)=0,VLOOKUP(B15,Operations!$A$2:$U$101,13,FALSE)*'General Variables'!$B$8,VLOOKUP(B15,Operations!$A$2:$U$101,12,FALSE)*'General Variables'!$B$7)/VLOOKUP(B15,Operations!$A$2:$U$101,9,FALSE)*C15,2)))</f>
        <v>1.23</v>
      </c>
      <c r="G15" s="142">
        <f>IF(B15=0,0,IF(C15&gt;9999,"",ROUND(VLOOKUP(VLOOKUP(B15,Operations!$A$2:$U$101,11,FALSE),PowerUnits[],10,FALSE)/VLOOKUP(B15,Operations!$A$2:$U$101,9,FALSE)*C15,2)))</f>
        <v>0.93</v>
      </c>
      <c r="H15" s="142">
        <f>IF(B15=0,"",IF(C15&gt;9999,"",ROUND(VLOOKUP($B15,Operations!$A$2:$U$101,15,FALSE)*C15,2)))</f>
        <v>6.46</v>
      </c>
      <c r="I15" s="142">
        <f>IF(B15=0,0,IF(C15&gt;9999,"",ROUND(VLOOKUP(VLOOKUP(B15,Operations!$A$2:$U$101,11,FALSE),PowerUnits[],16,FALSE)/VLOOKUP(B15,Operations!$A$2:$U$101,9,FALSE)*C15,2)))</f>
        <v>3.07</v>
      </c>
      <c r="J15" s="142">
        <f>IF(B15=0,"",IF(C15&gt;9999,"",ROUND(VLOOKUP($B15,Operations!$A$2:$U$101,21,FALSE)*$C15,2)))</f>
        <v>2.88</v>
      </c>
      <c r="K15" s="142">
        <f t="shared" si="0"/>
        <v>17.010000000000002</v>
      </c>
      <c r="L15" s="143"/>
    </row>
    <row r="16" spans="1:15" x14ac:dyDescent="0.2">
      <c r="A16" s="196">
        <v>5</v>
      </c>
      <c r="B16" s="203" t="s">
        <v>554</v>
      </c>
      <c r="C16" s="205">
        <f>$H$3</f>
        <v>2</v>
      </c>
      <c r="D16" s="200" t="s">
        <v>406</v>
      </c>
      <c r="E16" s="142">
        <f>IF(B16=0,"",IF(C16&gt;9999,"",ROUND('General Variables'!$B$4*VLOOKUP(B16,Operations!$A$2:$U$101,10,FALSE)/VLOOKUP(B16,Operations!$A$2:$U$101,9,FALSE)*C16,2)))</f>
        <v>1.39</v>
      </c>
      <c r="F16" s="142">
        <f>IF(B16=0,0,IF(C16&gt;9999,"",ROUND(IF(VLOOKUP(B16,Operations!$A$2:$U$101,12,FALSE)=0,VLOOKUP(B16,Operations!$A$2:$U$101,13,FALSE)*'General Variables'!$B$8,VLOOKUP(B16,Operations!$A$2:$U$101,12,FALSE)*'General Variables'!$B$7)/VLOOKUP(B16,Operations!$A$2:$U$101,9,FALSE)*C16,2)))</f>
        <v>9.6</v>
      </c>
      <c r="G16" s="142">
        <f>IF(B16=0,0,IF(C16&gt;9999,"",ROUND(VLOOKUP(VLOOKUP(B16,Operations!$A$2:$U$101,11,FALSE),PowerUnits[],10,FALSE)/VLOOKUP(B16,Operations!$A$2:$U$101,9,FALSE)*C16,2)))</f>
        <v>0.69</v>
      </c>
      <c r="H16" s="142">
        <f>IF(B16=0,"",IF(C16&gt;9999,"",ROUND(VLOOKUP($B16,Operations!$A$2:$U$101,15,FALSE)*C16,2)))</f>
        <v>3.23</v>
      </c>
      <c r="I16" s="142">
        <f>IF(B16=0,0,IF(C16&gt;9999,"",ROUND(VLOOKUP(VLOOKUP(B16,Operations!$A$2:$U$101,11,FALSE),PowerUnits[],16,FALSE)/VLOOKUP(B16,Operations!$A$2:$U$101,9,FALSE)*C16,2)))</f>
        <v>0.99</v>
      </c>
      <c r="J16" s="142">
        <f>IF(B16=0,"",IF(C16&gt;9999,"",ROUND(VLOOKUP($B16,Operations!$A$2:$U$101,21,FALSE)*$C16,2)))</f>
        <v>1.93</v>
      </c>
      <c r="K16" s="142">
        <f>IF(C16&gt;9999,"",ROUND(SUM(E16:J16),2))</f>
        <v>17.829999999999998</v>
      </c>
      <c r="L16" s="143"/>
    </row>
    <row r="17" spans="1:12" x14ac:dyDescent="0.2">
      <c r="A17" s="196">
        <v>6</v>
      </c>
      <c r="B17" s="203" t="s">
        <v>545</v>
      </c>
      <c r="C17" s="205">
        <v>1</v>
      </c>
      <c r="D17" s="200"/>
      <c r="E17" s="142">
        <f>IF(B17=0,"",IF(C17&gt;9999,"",ROUND('General Variables'!$B$4*VLOOKUP(B17,Operations!$A$2:$U$101,10,FALSE)/VLOOKUP(B17,Operations!$A$2:$U$101,9,FALSE)*C17,2)))</f>
        <v>1.57</v>
      </c>
      <c r="F17" s="142">
        <f>IF(B17=0,0,IF(C17&gt;9999,"",ROUND(IF(VLOOKUP(B17,Operations!$A$2:$U$101,12,FALSE)=0,VLOOKUP(B17,Operations!$A$2:$U$101,13,FALSE)*'General Variables'!$B$8,VLOOKUP(B17,Operations!$A$2:$U$101,12,FALSE)*'General Variables'!$B$7)/VLOOKUP(B17,Operations!$A$2:$U$101,9,FALSE)*C17,2)))</f>
        <v>0.79</v>
      </c>
      <c r="G17" s="142">
        <f>IF(B17=0,0,IF(C17&gt;9999,"",ROUND(VLOOKUP(VLOOKUP(B17,Operations!$A$2:$U$101,11,FALSE),PowerUnits[],10,FALSE)/VLOOKUP(B17,Operations!$A$2:$U$101,9,FALSE)*C17,2)))</f>
        <v>0.66</v>
      </c>
      <c r="H17" s="142">
        <f>IF(B17=0,"",IF(C17&gt;9999,"",ROUND(VLOOKUP($B17,Operations!$A$2:$U$101,15,FALSE)*C17,2)))</f>
        <v>0</v>
      </c>
      <c r="I17" s="142">
        <f>IF(B17=0,0,IF(C17&gt;9999,"",ROUND(VLOOKUP(VLOOKUP(B17,Operations!$A$2:$U$101,11,FALSE),PowerUnits[],16,FALSE)/VLOOKUP(B17,Operations!$A$2:$U$101,9,FALSE)*C17,2)))</f>
        <v>2.1800000000000002</v>
      </c>
      <c r="J17" s="142">
        <f>IF(B17=0,"",IF(C17&gt;9999,"",ROUND(VLOOKUP($B17,Operations!$A$2:$U$101,21,FALSE)*$C17,2)))</f>
        <v>0</v>
      </c>
      <c r="K17" s="142">
        <f>IF(C17&gt;9999,"",ROUND(SUM(E17:J17),2))</f>
        <v>5.2</v>
      </c>
      <c r="L17" s="143"/>
    </row>
    <row r="18" spans="1:12" hidden="1" x14ac:dyDescent="0.2">
      <c r="A18" s="196">
        <v>7</v>
      </c>
      <c r="B18" s="203"/>
      <c r="C18" s="205"/>
      <c r="D18" s="200"/>
      <c r="E18" s="142" t="str">
        <f>IF(B18=0,"",IF(C18&gt;9999,"",ROUND('General Variables'!$B$4*VLOOKUP(B18,Operations!$A$2:$U$101,10,FALSE)/VLOOKUP(B18,Operations!$A$2:$U$101,9,FALSE)*C18,2)))</f>
        <v/>
      </c>
      <c r="F18" s="142">
        <f>IF(B18=0,0,IF(C18&gt;9999,"",ROUND(IF(VLOOKUP(B18,Operations!$A$2:$U$101,12,FALSE)=0,VLOOKUP(B18,Operations!$A$2:$U$101,13,FALSE)*'General Variables'!$B$8,VLOOKUP(B18,Operations!$A$2:$U$101,12,FALSE)*'General Variables'!$B$7)/VLOOKUP(B18,Operations!$A$2:$U$101,9,FALSE)*C18,2)))</f>
        <v>0</v>
      </c>
      <c r="G18" s="142">
        <f>IF(B18=0,0,IF(C18&gt;9999,"",ROUND(VLOOKUP(VLOOKUP(B18,Operations!$A$2:$U$101,11,FALSE),PowerUnits[],10,FALSE)/VLOOKUP(B18,Operations!$A$2:$U$101,9,FALSE)*C18,2)))</f>
        <v>0</v>
      </c>
      <c r="H18" s="142" t="str">
        <f>IF(B18=0,"",IF(C18&gt;9999,"",ROUND(VLOOKUP($B18,Operations!$A$2:$U$101,15,FALSE)*C18,2)))</f>
        <v/>
      </c>
      <c r="I18" s="142">
        <f>IF(B18=0,0,IF(C18&gt;9999,"",ROUND(VLOOKUP(VLOOKUP(B18,Operations!$A$2:$U$101,11,FALSE),PowerUnits[],16,FALSE)/VLOOKUP(B18,Operations!$A$2:$U$101,9,FALSE)*C18,2)))</f>
        <v>0</v>
      </c>
      <c r="J18" s="142" t="str">
        <f>IF(B18=0,"",IF(C18&gt;9999,"",ROUND(VLOOKUP($B18,Operations!$A$2:$U$101,21,FALSE)*$C18,2)))</f>
        <v/>
      </c>
      <c r="K18" s="142">
        <f t="shared" si="0"/>
        <v>0</v>
      </c>
      <c r="L18" s="143"/>
    </row>
    <row r="19" spans="1:12" hidden="1" x14ac:dyDescent="0.2">
      <c r="A19" s="196">
        <v>8</v>
      </c>
      <c r="B19" s="203"/>
      <c r="C19" s="205"/>
      <c r="D19" s="200"/>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6">
        <v>9</v>
      </c>
      <c r="B20" s="203"/>
      <c r="C20" s="205"/>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6">
        <v>10</v>
      </c>
      <c r="B21" s="203"/>
      <c r="C21" s="205"/>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6">
        <v>11</v>
      </c>
      <c r="B22" s="203"/>
      <c r="C22" s="205"/>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6">
        <v>12</v>
      </c>
      <c r="B23" s="203"/>
      <c r="C23" s="205"/>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6">
        <v>13</v>
      </c>
      <c r="B24" s="203"/>
      <c r="C24" s="205"/>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6">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6">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6">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6">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6">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6">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6">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6"/>
      <c r="B32" s="146"/>
      <c r="C32" s="147"/>
      <c r="D32" s="147"/>
      <c r="E32" s="148"/>
      <c r="F32" s="148"/>
      <c r="G32" s="148"/>
      <c r="H32" s="148"/>
      <c r="I32" s="148"/>
      <c r="J32" s="148"/>
      <c r="K32" s="148"/>
      <c r="L32" s="149"/>
    </row>
    <row r="33" spans="1:12" ht="13.5" thickTop="1" x14ac:dyDescent="0.2">
      <c r="C33" s="139" t="s">
        <v>74</v>
      </c>
      <c r="D33" s="139"/>
      <c r="E33" s="150">
        <f>SUM(E12:E31)</f>
        <v>11.110000000000001</v>
      </c>
      <c r="F33" s="150">
        <f t="shared" ref="F33:K33" si="1">SUM(F12:F31)</f>
        <v>16.57</v>
      </c>
      <c r="G33" s="150">
        <f t="shared" si="1"/>
        <v>4.0600000000000005</v>
      </c>
      <c r="H33" s="150">
        <f t="shared" si="1"/>
        <v>12.21</v>
      </c>
      <c r="I33" s="150">
        <f t="shared" si="1"/>
        <v>15.29</v>
      </c>
      <c r="J33" s="150">
        <f t="shared" si="1"/>
        <v>7.59</v>
      </c>
      <c r="K33" s="150">
        <f t="shared" si="1"/>
        <v>66.83</v>
      </c>
      <c r="L33" s="143"/>
    </row>
    <row r="35" spans="1:12" ht="24" customHeight="1" thickBot="1" x14ac:dyDescent="0.25">
      <c r="B35" s="136"/>
      <c r="C35" s="136"/>
      <c r="D35" s="136"/>
      <c r="E35" s="136"/>
      <c r="F35" s="226" t="s">
        <v>85</v>
      </c>
      <c r="G35" s="226" t="s">
        <v>82</v>
      </c>
      <c r="H35" s="227" t="s">
        <v>86</v>
      </c>
      <c r="I35" s="227"/>
      <c r="J35" s="226" t="s">
        <v>62</v>
      </c>
      <c r="L35" s="227" t="s">
        <v>361</v>
      </c>
    </row>
    <row r="36" spans="1:12" s="151" customFormat="1" ht="18.75" customHeight="1" thickTop="1" thickBot="1" x14ac:dyDescent="0.25">
      <c r="B36" s="152" t="s">
        <v>81</v>
      </c>
      <c r="C36" s="197"/>
      <c r="D36" s="197"/>
      <c r="E36" s="197"/>
      <c r="F36" s="226"/>
      <c r="G36" s="226"/>
      <c r="H36" s="190" t="s">
        <v>87</v>
      </c>
      <c r="I36" s="191" t="s">
        <v>70</v>
      </c>
      <c r="J36" s="226"/>
      <c r="K36" s="197" t="s">
        <v>83</v>
      </c>
      <c r="L36" s="226"/>
    </row>
    <row r="37" spans="1:12" ht="13.5" thickTop="1" x14ac:dyDescent="0.2">
      <c r="A37" s="175"/>
      <c r="B37" s="203" t="s">
        <v>32</v>
      </c>
      <c r="C37" s="220" t="str">
        <f>IF(B37=0,"",VLOOKUP($B37,Materials!$B$2:$H$127,2,FALSE))</f>
        <v>Seed</v>
      </c>
      <c r="D37" s="220"/>
      <c r="E37" s="220"/>
      <c r="F37" s="205">
        <v>4</v>
      </c>
      <c r="G37" s="207">
        <v>1</v>
      </c>
      <c r="H37" s="208">
        <v>1</v>
      </c>
      <c r="I37" s="153" t="str">
        <f>IF($B37=0,"",VLOOKUP($B37,Materials!$B$2:$H$127,5,FALSE))</f>
        <v>acre</v>
      </c>
      <c r="J37" s="142">
        <f>IF($B37=0,"",VLOOKUP($B37,Materials!$B$2:$H$127,7,FALSE))</f>
        <v>60</v>
      </c>
      <c r="K37" s="150">
        <f>IF(B37=0,0,ROUND(G37*H37*J37,2))</f>
        <v>60</v>
      </c>
      <c r="L37" s="143"/>
    </row>
    <row r="38" spans="1:12" x14ac:dyDescent="0.2">
      <c r="A38" s="175"/>
      <c r="B38" s="203" t="s">
        <v>9</v>
      </c>
      <c r="C38" s="220" t="str">
        <f>IF(B38=0,"",VLOOKUP($B38,Materials!$B$2:$H$127,2,FALSE))</f>
        <v>Fertilizer</v>
      </c>
      <c r="D38" s="220"/>
      <c r="E38" s="220"/>
      <c r="F38" s="205">
        <v>6</v>
      </c>
      <c r="G38" s="207">
        <v>1</v>
      </c>
      <c r="H38" s="208">
        <v>60</v>
      </c>
      <c r="I38" s="153" t="str">
        <f>IF($B38=0,"",VLOOKUP($B38,Materials!$B$2:$H$127,5,FALSE))</f>
        <v>pound</v>
      </c>
      <c r="J38" s="142">
        <f>IF($B38=0,"",VLOOKUP($B38,Materials!$B$2:$H$127,7,FALSE))</f>
        <v>0.28000000000000003</v>
      </c>
      <c r="K38" s="150">
        <f t="shared" ref="K38:K55" si="2">IF(B38=0,0,ROUND(G38*H38*J38,2))</f>
        <v>16.8</v>
      </c>
      <c r="L38" s="143"/>
    </row>
    <row r="39" spans="1:12" hidden="1" x14ac:dyDescent="0.2">
      <c r="A39" s="175"/>
      <c r="B39" s="203"/>
      <c r="C39" s="220" t="str">
        <f>IF(B39=0,"",VLOOKUP($B39,Materials!$B$2:$H$127,2,FALSE))</f>
        <v/>
      </c>
      <c r="D39" s="220"/>
      <c r="E39" s="220"/>
      <c r="F39" s="205"/>
      <c r="G39" s="207"/>
      <c r="H39" s="208"/>
      <c r="I39" s="153" t="str">
        <f>IF($B39=0,"",VLOOKUP($B39,Materials!$B$2:$H$127,5,FALSE))</f>
        <v/>
      </c>
      <c r="J39" s="142" t="str">
        <f>IF($B39=0,"",VLOOKUP($B39,Materials!$B$2:$H$127,7,FALSE))</f>
        <v/>
      </c>
      <c r="K39" s="150">
        <f t="shared" si="2"/>
        <v>0</v>
      </c>
      <c r="L39" s="143"/>
    </row>
    <row r="40" spans="1:12" hidden="1" x14ac:dyDescent="0.2">
      <c r="A40" s="175"/>
      <c r="B40" s="203"/>
      <c r="C40" s="220" t="str">
        <f>IF(B40=0,"",VLOOKUP($B40,Materials!$B$2:$H$127,2,FALSE))</f>
        <v/>
      </c>
      <c r="D40" s="220"/>
      <c r="E40" s="220"/>
      <c r="F40" s="205"/>
      <c r="G40" s="207"/>
      <c r="H40" s="208"/>
      <c r="I40" s="153" t="str">
        <f>IF($B40=0,"",VLOOKUP($B40,Materials!$B$2:$H$127,5,FALSE))</f>
        <v/>
      </c>
      <c r="J40" s="142" t="str">
        <f>IF($B40=0,"",VLOOKUP($B40,Materials!$B$2:$H$127,7,FALSE))</f>
        <v/>
      </c>
      <c r="K40" s="150">
        <f t="shared" si="2"/>
        <v>0</v>
      </c>
      <c r="L40" s="143"/>
    </row>
    <row r="41" spans="1:12" hidden="1" x14ac:dyDescent="0.2">
      <c r="A41" s="175"/>
      <c r="B41" s="203"/>
      <c r="C41" s="220" t="str">
        <f>IF(B41=0,"",VLOOKUP($B41,Materials!$B$2:$H$127,2,FALSE))</f>
        <v/>
      </c>
      <c r="D41" s="220"/>
      <c r="E41" s="220"/>
      <c r="F41" s="205"/>
      <c r="G41" s="207"/>
      <c r="H41" s="209"/>
      <c r="I41" s="153" t="str">
        <f>IF($B41=0,"",VLOOKUP($B41,Materials!$B$2:$H$127,5,FALSE))</f>
        <v/>
      </c>
      <c r="J41" s="142" t="str">
        <f>IF($B41=0,"",VLOOKUP($B41,Materials!$B$2:$H$127,7,FALSE))</f>
        <v/>
      </c>
      <c r="K41" s="150">
        <f t="shared" si="2"/>
        <v>0</v>
      </c>
      <c r="L41" s="143"/>
    </row>
    <row r="42" spans="1:12" hidden="1" x14ac:dyDescent="0.2">
      <c r="A42" s="175"/>
      <c r="B42" s="203"/>
      <c r="C42" s="220" t="str">
        <f>IF(B42=0,"",VLOOKUP($B42,Materials!$B$2:$H$127,2,FALSE))</f>
        <v/>
      </c>
      <c r="D42" s="220"/>
      <c r="E42" s="220"/>
      <c r="F42" s="205"/>
      <c r="G42" s="207"/>
      <c r="H42" s="209"/>
      <c r="I42" s="153" t="str">
        <f>IF($B42=0,"",VLOOKUP($B42,Materials!$B$2:$H$127,5,FALSE))</f>
        <v/>
      </c>
      <c r="J42" s="142" t="str">
        <f>IF($B42=0,"",VLOOKUP($B42,Materials!$B$2:$H$127,7,FALSE))</f>
        <v/>
      </c>
      <c r="K42" s="150">
        <f t="shared" si="2"/>
        <v>0</v>
      </c>
      <c r="L42" s="143"/>
    </row>
    <row r="43" spans="1:12" hidden="1" x14ac:dyDescent="0.2">
      <c r="A43" s="180"/>
      <c r="B43" s="203"/>
      <c r="C43" s="220" t="str">
        <f>IF(B43=0,"",VLOOKUP($B43,Materials!$B$2:$H$127,2,FALSE))</f>
        <v/>
      </c>
      <c r="D43" s="220"/>
      <c r="E43" s="220"/>
      <c r="F43" s="205"/>
      <c r="G43" s="207"/>
      <c r="H43" s="208"/>
      <c r="I43" s="153" t="str">
        <f>IF($B43=0,"",VLOOKUP($B43,Materials!$B$2:$H$127,5,FALSE))</f>
        <v/>
      </c>
      <c r="J43" s="142" t="str">
        <f>IF($B43=0,"",VLOOKUP($B43,Materials!$B$2:$H$127,7,FALSE))</f>
        <v/>
      </c>
      <c r="K43" s="150">
        <f t="shared" si="2"/>
        <v>0</v>
      </c>
      <c r="L43" s="143"/>
    </row>
    <row r="44" spans="1:12" hidden="1" x14ac:dyDescent="0.2">
      <c r="A44" s="180"/>
      <c r="B44" s="203"/>
      <c r="C44" s="220" t="str">
        <f>IF(B44=0,"",VLOOKUP($B44,Materials!$B$2:$H$127,2,FALSE))</f>
        <v/>
      </c>
      <c r="D44" s="220"/>
      <c r="E44" s="220"/>
      <c r="F44" s="205"/>
      <c r="G44" s="207"/>
      <c r="H44" s="208"/>
      <c r="I44" s="153" t="str">
        <f>IF($B44=0,"",VLOOKUP($B44,Materials!$B$2:$H$127,5,FALSE))</f>
        <v/>
      </c>
      <c r="J44" s="142" t="str">
        <f>IF($B44=0,"",VLOOKUP($B44,Materials!$B$2:$H$127,7,FALSE))</f>
        <v/>
      </c>
      <c r="K44" s="150">
        <f t="shared" si="2"/>
        <v>0</v>
      </c>
      <c r="L44" s="143"/>
    </row>
    <row r="45" spans="1:12" hidden="1" x14ac:dyDescent="0.2">
      <c r="A45" s="180"/>
      <c r="B45" s="203"/>
      <c r="C45" s="220" t="str">
        <f>IF(B45=0,"",VLOOKUP($B45,Materials!$B$2:$H$127,2,FALSE))</f>
        <v/>
      </c>
      <c r="D45" s="220"/>
      <c r="E45" s="220"/>
      <c r="F45" s="205"/>
      <c r="G45" s="207"/>
      <c r="H45" s="208"/>
      <c r="I45" s="153" t="str">
        <f>IF($B45=0,"",VLOOKUP($B45,Materials!$B$2:$H$127,5,FALSE))</f>
        <v/>
      </c>
      <c r="J45" s="142" t="str">
        <f>IF($B45=0,"",VLOOKUP($B45,Materials!$B$2:$H$127,7,FALSE))</f>
        <v/>
      </c>
      <c r="K45" s="150">
        <f t="shared" si="2"/>
        <v>0</v>
      </c>
      <c r="L45" s="143"/>
    </row>
    <row r="46" spans="1:12" hidden="1" x14ac:dyDescent="0.2">
      <c r="A46" s="180"/>
      <c r="B46" s="203"/>
      <c r="C46" s="220" t="str">
        <f>IF(B46=0,"",VLOOKUP($B46,Materials!$B$2:$H$127,2,FALSE))</f>
        <v/>
      </c>
      <c r="D46" s="220"/>
      <c r="E46" s="220"/>
      <c r="F46" s="205"/>
      <c r="G46" s="207"/>
      <c r="H46" s="208"/>
      <c r="I46" s="153" t="str">
        <f>IF($B46=0,"",VLOOKUP($B46,Materials!$B$2:$H$127,5,FALSE))</f>
        <v/>
      </c>
      <c r="J46" s="142" t="str">
        <f>IF($B46=0,"",VLOOKUP($B46,Materials!$B$2:$H$127,7,FALSE))</f>
        <v/>
      </c>
      <c r="K46" s="150">
        <f t="shared" si="2"/>
        <v>0</v>
      </c>
      <c r="L46" s="143"/>
    </row>
    <row r="47" spans="1:12" hidden="1" x14ac:dyDescent="0.2">
      <c r="A47" s="180"/>
      <c r="B47" s="203"/>
      <c r="C47" s="220" t="str">
        <f>IF(B47=0,"",VLOOKUP($B47,Materials!$B$2:$H$127,2,FALSE))</f>
        <v/>
      </c>
      <c r="D47" s="220"/>
      <c r="E47" s="220"/>
      <c r="F47" s="205"/>
      <c r="G47" s="207"/>
      <c r="H47" s="208"/>
      <c r="I47" s="153" t="str">
        <f>IF($B47=0,"",VLOOKUP($B47,Materials!$B$2:$H$127,5,FALSE))</f>
        <v/>
      </c>
      <c r="J47" s="142" t="str">
        <f>IF($B47=0,"",VLOOKUP($B47,Materials!$B$2:$H$127,7,FALSE))</f>
        <v/>
      </c>
      <c r="K47" s="150">
        <f t="shared" si="2"/>
        <v>0</v>
      </c>
      <c r="L47" s="143"/>
    </row>
    <row r="48" spans="1:12" hidden="1" x14ac:dyDescent="0.2">
      <c r="A48" s="175"/>
      <c r="B48" s="203"/>
      <c r="C48" s="220" t="str">
        <f>IF(B48=0,"",VLOOKUP($B48,Materials!$B$2:$H$127,2,FALSE))</f>
        <v/>
      </c>
      <c r="D48" s="220"/>
      <c r="E48" s="220"/>
      <c r="F48" s="205"/>
      <c r="G48" s="207"/>
      <c r="H48" s="208"/>
      <c r="I48" s="153" t="str">
        <f>IF($B48=0,"",VLOOKUP($B48,Materials!$B$2:$H$127,5,FALSE))</f>
        <v/>
      </c>
      <c r="J48" s="142" t="str">
        <f>IF($B48=0,"",VLOOKUP($B48,Materials!$B$2:$H$127,7,FALSE))</f>
        <v/>
      </c>
      <c r="K48" s="150">
        <f t="shared" si="2"/>
        <v>0</v>
      </c>
      <c r="L48" s="143"/>
    </row>
    <row r="49" spans="1:12" hidden="1" x14ac:dyDescent="0.2">
      <c r="A49" s="175"/>
      <c r="B49" s="203"/>
      <c r="C49" s="220" t="str">
        <f>IF(B49=0,"",VLOOKUP($B49,Materials!$B$2:$H$127,2,FALSE))</f>
        <v/>
      </c>
      <c r="D49" s="220"/>
      <c r="E49" s="220"/>
      <c r="F49" s="205"/>
      <c r="G49" s="207"/>
      <c r="H49" s="208"/>
      <c r="I49" s="153" t="str">
        <f>IF($B49=0,"",VLOOKUP($B49,Materials!$B$2:$H$127,5,FALSE))</f>
        <v/>
      </c>
      <c r="J49" s="142" t="str">
        <f>IF($B49=0,"",VLOOKUP($B49,Materials!$B$2:$H$127,7,FALSE))</f>
        <v/>
      </c>
      <c r="K49" s="150">
        <f t="shared" si="2"/>
        <v>0</v>
      </c>
      <c r="L49" s="143"/>
    </row>
    <row r="50" spans="1:12" hidden="1" x14ac:dyDescent="0.2">
      <c r="B50" s="204"/>
      <c r="C50" s="220" t="str">
        <f>IF(B50=0,"",VLOOKUP($B50,Materials!$B$2:$H$127,2,FALSE))</f>
        <v/>
      </c>
      <c r="D50" s="220"/>
      <c r="E50" s="220"/>
      <c r="F50" s="206"/>
      <c r="G50" s="207"/>
      <c r="H50" s="210"/>
      <c r="I50" s="153" t="str">
        <f>IF($B50=0,"",VLOOKUP($B50,Materials!$B$2:$H$127,5,FALSE))</f>
        <v/>
      </c>
      <c r="J50" s="142" t="str">
        <f>IF($B50=0,"",VLOOKUP($B50,Materials!$B$2:$H$127,7,FALSE))</f>
        <v/>
      </c>
      <c r="K50" s="150">
        <f t="shared" si="2"/>
        <v>0</v>
      </c>
      <c r="L50" s="143"/>
    </row>
    <row r="51" spans="1:12" hidden="1" x14ac:dyDescent="0.2">
      <c r="B51" s="204"/>
      <c r="C51" s="220" t="str">
        <f>IF(B51=0,"",VLOOKUP($B51,Materials!$B$2:$H$127,2,FALSE))</f>
        <v/>
      </c>
      <c r="D51" s="220"/>
      <c r="E51" s="220"/>
      <c r="F51" s="206"/>
      <c r="G51" s="207"/>
      <c r="H51" s="210"/>
      <c r="I51" s="153" t="str">
        <f>IF($B51=0,"",VLOOKUP($B51,Materials!$B$2:$H$127,5,FALSE))</f>
        <v/>
      </c>
      <c r="J51" s="142" t="str">
        <f>IF($B51=0,"",VLOOKUP($B51,Materials!$B$2:$H$127,7,FALSE))</f>
        <v/>
      </c>
      <c r="K51" s="150">
        <f t="shared" si="2"/>
        <v>0</v>
      </c>
      <c r="L51" s="143"/>
    </row>
    <row r="52" spans="1:12" hidden="1" x14ac:dyDescent="0.2">
      <c r="B52" s="204"/>
      <c r="C52" s="220" t="str">
        <f>IF(B52=0,"",VLOOKUP($B52,Materials!$B$2:$H$127,2,FALSE))</f>
        <v/>
      </c>
      <c r="D52" s="220"/>
      <c r="E52" s="220"/>
      <c r="F52" s="206"/>
      <c r="G52" s="211"/>
      <c r="H52" s="210"/>
      <c r="I52" s="153" t="str">
        <f>IF($B52=0,"",VLOOKUP($B52,Materials!$B$2:$H$127,5,FALSE))</f>
        <v/>
      </c>
      <c r="J52" s="142" t="str">
        <f>IF($B52=0,"",VLOOKUP($B52,Materials!$B$2:$H$127,7,FALSE))</f>
        <v/>
      </c>
      <c r="K52" s="150">
        <f t="shared" si="2"/>
        <v>0</v>
      </c>
      <c r="L52" s="143"/>
    </row>
    <row r="53" spans="1:12" hidden="1" x14ac:dyDescent="0.2">
      <c r="B53" s="204"/>
      <c r="C53" s="220" t="str">
        <f>IF(B53=0,"",VLOOKUP($B53,Materials!$B$2:$H$127,2,FALSE))</f>
        <v/>
      </c>
      <c r="D53" s="220"/>
      <c r="E53" s="220"/>
      <c r="F53" s="206"/>
      <c r="G53" s="211"/>
      <c r="H53" s="210"/>
      <c r="I53" s="153" t="str">
        <f>IF($B53=0,"",VLOOKUP($B53,Materials!$B$2:$H$127,5,FALSE))</f>
        <v/>
      </c>
      <c r="J53" s="142" t="str">
        <f>IF($B53=0,"",VLOOKUP($B53,Materials!$B$2:$H$127,7,FALSE))</f>
        <v/>
      </c>
      <c r="K53" s="150">
        <f t="shared" si="2"/>
        <v>0</v>
      </c>
      <c r="L53" s="143"/>
    </row>
    <row r="54" spans="1:12" hidden="1" x14ac:dyDescent="0.2">
      <c r="B54" s="204"/>
      <c r="C54" s="220" t="str">
        <f>IF(B54=0,"",VLOOKUP($B54,Materials!$B$2:$H$127,2,FALSE))</f>
        <v/>
      </c>
      <c r="D54" s="220"/>
      <c r="E54" s="220"/>
      <c r="F54" s="206"/>
      <c r="G54" s="211"/>
      <c r="H54" s="210"/>
      <c r="I54" s="153" t="str">
        <f>IF($B54=0,"",VLOOKUP($B54,Materials!$B$2:$H$127,5,FALSE))</f>
        <v/>
      </c>
      <c r="J54" s="142" t="str">
        <f>IF($B54=0,"",VLOOKUP($B54,Materials!$B$2:$H$127,7,FALSE))</f>
        <v/>
      </c>
      <c r="K54" s="150">
        <f t="shared" si="2"/>
        <v>0</v>
      </c>
      <c r="L54" s="143"/>
    </row>
    <row r="55" spans="1:12" hidden="1" x14ac:dyDescent="0.2">
      <c r="B55" s="204"/>
      <c r="C55" s="220" t="str">
        <f>IF(B55=0,"",VLOOKUP($B55,Materials!$B$2:$H$127,2,FALSE))</f>
        <v/>
      </c>
      <c r="D55" s="220"/>
      <c r="E55" s="220"/>
      <c r="F55" s="206"/>
      <c r="G55" s="211"/>
      <c r="H55" s="210"/>
      <c r="I55" s="153" t="str">
        <f>IF($B55=0,"",VLOOKUP($B55,Materials!$B$2:$H$127,5,FALSE))</f>
        <v/>
      </c>
      <c r="J55" s="142" t="str">
        <f>IF($B55=0,"",VLOOKUP($B55,Materials!$B$2:$H$127,7,FALSE))</f>
        <v/>
      </c>
      <c r="K55" s="150">
        <f t="shared" si="2"/>
        <v>0</v>
      </c>
      <c r="L55" s="145"/>
    </row>
    <row r="56" spans="1:12" hidden="1" x14ac:dyDescent="0.2">
      <c r="B56" s="204"/>
      <c r="C56" s="220" t="str">
        <f>IF(B56=0,"",VLOOKUP($B56,Materials!$B$2:$H$127,2,FALSE))</f>
        <v/>
      </c>
      <c r="D56" s="220"/>
      <c r="E56" s="220"/>
      <c r="F56" s="206"/>
      <c r="G56" s="211"/>
      <c r="H56" s="210"/>
      <c r="I56" s="153" t="str">
        <f>IF($B56=0,"",VLOOKUP($B56,Materials!$B$2:$H$127,5,FALSE))</f>
        <v/>
      </c>
      <c r="J56" s="142" t="str">
        <f>IF($B56=0,"",VLOOKUP($B56,Materials!$B$2:$H$127,7,FALSE))</f>
        <v/>
      </c>
      <c r="K56" s="150">
        <f>IF(B56=0,0,ROUND(G56*H56*J56,2))</f>
        <v>0</v>
      </c>
      <c r="L56" s="145"/>
    </row>
    <row r="57" spans="1:12" hidden="1" x14ac:dyDescent="0.2">
      <c r="B57" s="204"/>
      <c r="C57" s="220" t="str">
        <f>IF(B57=0,"",VLOOKUP($B57,Materials!$B$2:$H$127,2,FALSE))</f>
        <v/>
      </c>
      <c r="D57" s="220"/>
      <c r="E57" s="220"/>
      <c r="F57" s="206"/>
      <c r="G57" s="211"/>
      <c r="H57" s="210"/>
      <c r="I57" s="153" t="str">
        <f>IF($B57=0,"",VLOOKUP($B57,Materials!$B$2:$H$127,5,FALSE))</f>
        <v/>
      </c>
      <c r="J57" s="142" t="str">
        <f>IF($B57=0,"",VLOOKUP($B57,Materials!$B$2:$H$127,7,FALSE))</f>
        <v/>
      </c>
      <c r="K57" s="150">
        <f>IF(B57=0,0,ROUND(G57*H57*J57,2))</f>
        <v>0</v>
      </c>
      <c r="L57" s="145"/>
    </row>
    <row r="58" spans="1:12" hidden="1" x14ac:dyDescent="0.2">
      <c r="B58" s="204"/>
      <c r="C58" s="220" t="str">
        <f>IF(B58=0,"",VLOOKUP($B58,Materials!$B$2:$H$127,2,FALSE))</f>
        <v/>
      </c>
      <c r="D58" s="220"/>
      <c r="E58" s="220"/>
      <c r="F58" s="206"/>
      <c r="G58" s="211"/>
      <c r="H58" s="210"/>
      <c r="I58" s="153" t="str">
        <f>IF($B58=0,"",VLOOKUP($B58,Materials!$B$2:$H$127,5,FALSE))</f>
        <v/>
      </c>
      <c r="J58" s="142" t="str">
        <f>IF($B58=0,"",VLOOKUP($B58,Materials!$B$2:$H$127,7,FALSE))</f>
        <v/>
      </c>
      <c r="K58" s="150">
        <f>IF(B58=0,0,ROUND(G58*H58*J58,2))</f>
        <v>0</v>
      </c>
      <c r="L58" s="145"/>
    </row>
    <row r="59" spans="1:12" hidden="1" x14ac:dyDescent="0.2">
      <c r="B59" s="204"/>
      <c r="C59" s="220" t="str">
        <f>IF(B59=0,"",VLOOKUP($B59,Materials!$B$2:$H$127,2,FALSE))</f>
        <v/>
      </c>
      <c r="D59" s="220"/>
      <c r="E59" s="220"/>
      <c r="F59" s="206"/>
      <c r="G59" s="211"/>
      <c r="H59" s="210"/>
      <c r="I59" s="153" t="str">
        <f>IF($B59=0,"",VLOOKUP($B59,Materials!$B$2:$H$127,5,FALSE))</f>
        <v/>
      </c>
      <c r="J59" s="142" t="str">
        <f>IF($B59=0,"",VLOOKUP($B59,Materials!$B$2:$H$127,7,FALSE))</f>
        <v/>
      </c>
      <c r="K59" s="150">
        <f>IF(B59=0,0,ROUND(G59*H59*J59,2))</f>
        <v>0</v>
      </c>
      <c r="L59" s="145"/>
    </row>
    <row r="60" spans="1:12" hidden="1" x14ac:dyDescent="0.2">
      <c r="B60" s="204"/>
      <c r="C60" s="220" t="str">
        <f>IF(B60=0,"",VLOOKUP($B60,Materials!$B$2:$H$127,2,FALSE))</f>
        <v/>
      </c>
      <c r="D60" s="220"/>
      <c r="E60" s="220"/>
      <c r="F60" s="206"/>
      <c r="G60" s="211"/>
      <c r="H60" s="210"/>
      <c r="I60" s="153" t="str">
        <f>IF($B60=0,"",VLOOKUP($B60,Materials!$B$2:$H$127,5,FALSE))</f>
        <v/>
      </c>
      <c r="J60" s="142" t="str">
        <f>IF($B60=0,"",VLOOKUP($B60,Materials!$B$2:$H$127,7,FALSE))</f>
        <v/>
      </c>
      <c r="K60" s="150">
        <f>IF(B60=0,0,ROUND(G60*H60*J60,2))</f>
        <v>0</v>
      </c>
      <c r="L60" s="145"/>
    </row>
    <row r="61" spans="1:12" hidden="1" x14ac:dyDescent="0.2">
      <c r="B61" s="204"/>
      <c r="C61" s="220" t="str">
        <f>IF(B61=0,"",VLOOKUP($B61,Materials!$B$2:$H$127,2,FALSE))</f>
        <v/>
      </c>
      <c r="D61" s="220"/>
      <c r="E61" s="220"/>
      <c r="F61" s="144"/>
      <c r="G61" s="201"/>
      <c r="H61" s="202"/>
      <c r="I61" s="195"/>
      <c r="J61" s="142"/>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76.8</v>
      </c>
      <c r="L63" s="143"/>
    </row>
    <row r="64" spans="1:12" x14ac:dyDescent="0.2">
      <c r="B64" s="181"/>
      <c r="K64" s="161"/>
    </row>
    <row r="65" spans="2:12" x14ac:dyDescent="0.2">
      <c r="B65" s="140" t="s">
        <v>552</v>
      </c>
      <c r="K65" s="161">
        <f>K33+K63</f>
        <v>143.63</v>
      </c>
      <c r="L65" s="143"/>
    </row>
    <row r="66" spans="2:12" ht="13.5" thickBot="1" x14ac:dyDescent="0.25">
      <c r="D66" s="162" t="s">
        <v>570</v>
      </c>
      <c r="E66" s="163">
        <f>ROUND(SUM($E$33:$H$33)+$K$63,2)</f>
        <v>120.75</v>
      </c>
      <c r="F66" s="222" t="s">
        <v>362</v>
      </c>
      <c r="G66" s="222"/>
      <c r="H66" s="164">
        <f>'General Variables'!$B$11</f>
        <v>5.5E-2</v>
      </c>
      <c r="I66" s="165" t="str">
        <f>CONCATENATE("for ",TEXT('General Variables'!$B$12,"0.0")," mo.")</f>
        <v>for 6.0 mo.</v>
      </c>
      <c r="K66" s="166">
        <f>E66*H66*'General Variables'!$B$12/12</f>
        <v>3.3206250000000002</v>
      </c>
      <c r="L66" s="167"/>
    </row>
    <row r="67" spans="2:12" ht="13.5" thickTop="1" x14ac:dyDescent="0.2">
      <c r="B67" s="140" t="s">
        <v>366</v>
      </c>
      <c r="K67" s="161">
        <f>SUM(K65:K66)</f>
        <v>146.950625</v>
      </c>
      <c r="L67" s="143"/>
    </row>
    <row r="68" spans="2:12" x14ac:dyDescent="0.2">
      <c r="K68" s="161"/>
    </row>
    <row r="69" spans="2:12" x14ac:dyDescent="0.2">
      <c r="B69" s="168" t="s">
        <v>588</v>
      </c>
      <c r="C69" s="169"/>
      <c r="D69" s="169"/>
      <c r="E69" s="169"/>
      <c r="F69" s="169"/>
      <c r="G69" s="169"/>
      <c r="H69" s="169"/>
      <c r="I69" s="169"/>
      <c r="J69" s="169"/>
      <c r="K69" s="170">
        <f>'General Variables'!B14</f>
        <v>20</v>
      </c>
      <c r="L69" s="143"/>
    </row>
    <row r="70" spans="2:12" x14ac:dyDescent="0.2">
      <c r="B70" s="129" t="s">
        <v>369</v>
      </c>
      <c r="C70" s="223" t="s">
        <v>88</v>
      </c>
      <c r="D70" s="224"/>
      <c r="E70" s="225"/>
      <c r="F70" s="171">
        <f>IF(C70=0,0,VLOOKUP(C70,RETable,2,FALSE))</f>
        <v>0</v>
      </c>
      <c r="G70" s="222" t="s">
        <v>370</v>
      </c>
      <c r="H70" s="222"/>
      <c r="I70" s="164">
        <f>'General Variables'!$B$10</f>
        <v>0.04</v>
      </c>
      <c r="K70" s="172">
        <f>ROUND(F70*I70,2)</f>
        <v>0</v>
      </c>
      <c r="L70" s="143"/>
    </row>
    <row r="71" spans="2:12" ht="13.5" thickBot="1" x14ac:dyDescent="0.25">
      <c r="B71" s="129" t="s">
        <v>378</v>
      </c>
      <c r="F71" s="173">
        <f>IF(C70=0,0,VLOOKUP(C70,RETable,2,FALSE))</f>
        <v>0</v>
      </c>
      <c r="G71" s="221" t="s">
        <v>370</v>
      </c>
      <c r="H71" s="221"/>
      <c r="I71" s="174">
        <f>'General Variables'!$B$13</f>
        <v>0.01</v>
      </c>
      <c r="J71" s="175"/>
      <c r="K71" s="176">
        <f>ROUND(F71*I71,2)</f>
        <v>0</v>
      </c>
      <c r="L71" s="167"/>
    </row>
    <row r="72" spans="2:12" ht="13.5" thickTop="1" x14ac:dyDescent="0.2">
      <c r="B72" s="140" t="s">
        <v>383</v>
      </c>
      <c r="K72" s="161">
        <f>SUM(K67:K71)</f>
        <v>166.950625</v>
      </c>
      <c r="L72" s="143"/>
    </row>
    <row r="73" spans="2:12" x14ac:dyDescent="0.2">
      <c r="K73" s="162"/>
    </row>
    <row r="74" spans="2:12" x14ac:dyDescent="0.2">
      <c r="B74" s="138"/>
      <c r="C74" s="136"/>
      <c r="D74" s="136"/>
      <c r="E74" s="136"/>
      <c r="F74" s="136"/>
      <c r="G74" s="136"/>
      <c r="H74" s="136"/>
      <c r="I74" s="136"/>
      <c r="J74" s="136"/>
      <c r="K74" s="193"/>
      <c r="L74" s="136"/>
    </row>
    <row r="75" spans="2:12" x14ac:dyDescent="0.2">
      <c r="B75" s="131"/>
      <c r="C75" s="132"/>
      <c r="D75" s="132"/>
      <c r="E75" s="132"/>
      <c r="F75" s="132"/>
      <c r="G75" s="132"/>
      <c r="H75" s="132"/>
      <c r="I75" s="132"/>
      <c r="J75" s="132"/>
      <c r="K75" s="183"/>
      <c r="L75" s="132"/>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505</v>
      </c>
    </row>
    <row r="112" spans="2:11" x14ac:dyDescent="0.2">
      <c r="B112" s="175"/>
      <c r="C112" s="175"/>
      <c r="D112" s="175"/>
      <c r="H112" s="129" t="str">
        <f>'General Variables'!A20</f>
        <v>Corn Irrigated</v>
      </c>
      <c r="K112" s="129" t="s">
        <v>506</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8">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43-Grass Hay</v>
      </c>
      <c r="B2" s="138"/>
      <c r="C2" s="136"/>
      <c r="D2" s="136"/>
      <c r="E2" s="138"/>
      <c r="I2" s="189" t="s">
        <v>419</v>
      </c>
      <c r="J2" s="138"/>
      <c r="L2" s="139" t="str">
        <f>'General Variables'!A3&amp;" "&amp;'General Variables'!B3</f>
        <v>Year 2016</v>
      </c>
      <c r="O2" s="135" t="s">
        <v>407</v>
      </c>
    </row>
    <row r="3" spans="1:15" hidden="1" x14ac:dyDescent="0.2">
      <c r="A3" s="136" t="s">
        <v>541</v>
      </c>
      <c r="B3" s="138"/>
      <c r="C3" s="136"/>
      <c r="D3" s="136"/>
      <c r="E3" s="138"/>
      <c r="G3" s="136"/>
      <c r="I3" s="138" t="s">
        <v>539</v>
      </c>
      <c r="O3" s="135" t="s">
        <v>406</v>
      </c>
    </row>
    <row r="4" spans="1:15" hidden="1" x14ac:dyDescent="0.2">
      <c r="A4" s="137">
        <v>2.2000000000000002</v>
      </c>
      <c r="B4" s="137" t="s">
        <v>57</v>
      </c>
      <c r="C4" s="136"/>
      <c r="D4" s="136"/>
      <c r="E4" s="138"/>
      <c r="F4" s="138"/>
      <c r="G4" s="138"/>
      <c r="H4" s="138"/>
      <c r="I4" s="138"/>
      <c r="J4" s="139" t="s">
        <v>504</v>
      </c>
      <c r="K4" s="140"/>
      <c r="O4" s="135" t="str">
        <f>B4</f>
        <v>ton</v>
      </c>
    </row>
    <row r="5" spans="1:15" ht="15.75" hidden="1" x14ac:dyDescent="0.25">
      <c r="A5" s="219" t="str">
        <f ca="1" xml:space="preserve"> A2  &amp; IF(C2="","",  ", " &amp;C2 ) &amp; ", " &amp; A3 &amp; ", " &amp; I2</f>
        <v>43-Grass Hay, Large Round Bale, Dryland</v>
      </c>
      <c r="B5" s="219"/>
      <c r="C5" s="219"/>
      <c r="D5" s="219"/>
      <c r="E5" s="219"/>
      <c r="F5" s="219"/>
      <c r="G5" s="219"/>
      <c r="H5" s="219"/>
      <c r="I5" s="219"/>
      <c r="J5" s="219"/>
      <c r="K5" s="219"/>
      <c r="L5" s="219"/>
      <c r="O5" s="135"/>
    </row>
    <row r="6" spans="1:15" ht="15.75" hidden="1" x14ac:dyDescent="0.25">
      <c r="A6" s="194"/>
      <c r="B6" s="194"/>
      <c r="C6" s="194"/>
      <c r="D6" s="194"/>
      <c r="E6" s="194"/>
      <c r="F6" s="194"/>
      <c r="G6" s="194"/>
      <c r="H6" s="194"/>
      <c r="I6" s="194"/>
      <c r="J6" s="194"/>
      <c r="K6" s="194"/>
      <c r="L6" s="194"/>
      <c r="O6" s="135"/>
    </row>
    <row r="7" spans="1:15" ht="30" customHeight="1" x14ac:dyDescent="0.25">
      <c r="A7" s="219" t="str">
        <f ca="1">'General Variables'!B3 &amp; " Budget "  &amp; A2 &amp;", "  &amp; IF(C2=0,"", " " &amp; C2 &amp; ", ") &amp;  A3 &amp; IF(A4=""," ", " (") &amp; A4 &amp; " " &amp; B4 &amp; IF(A4="",""," Actual Yield)")</f>
        <v>2016 Budget 43-Grass Hay, Large Round Bale (2.2 ton Actual Yield)</v>
      </c>
      <c r="B7" s="219"/>
      <c r="C7" s="219"/>
      <c r="D7" s="219"/>
      <c r="E7" s="219"/>
      <c r="F7" s="219"/>
      <c r="G7" s="219"/>
      <c r="H7" s="219"/>
      <c r="I7" s="219"/>
      <c r="J7" s="219"/>
      <c r="K7" s="219"/>
      <c r="L7" s="219"/>
      <c r="O7" s="135"/>
    </row>
    <row r="8" spans="1:15" ht="15.75" x14ac:dyDescent="0.25">
      <c r="A8" s="141" t="str">
        <f>IF(I2="Dryland","Dryland",I2 &amp; IF(J2="","",", "&amp;J2)&amp;IF(H3="","",", "&amp;H3&amp;" "&amp;I3))</f>
        <v>Dryland</v>
      </c>
      <c r="B8" s="137"/>
      <c r="C8" s="136"/>
      <c r="D8" s="136"/>
      <c r="E8" s="138"/>
      <c r="F8" s="138"/>
      <c r="G8" s="138"/>
      <c r="H8" s="138"/>
      <c r="I8" s="138"/>
      <c r="O8" s="135"/>
    </row>
    <row r="10" spans="1:15" s="140" customFormat="1" ht="22.5" customHeight="1" x14ac:dyDescent="0.2">
      <c r="B10" s="228" t="s">
        <v>71</v>
      </c>
      <c r="C10" s="227" t="s">
        <v>1</v>
      </c>
      <c r="D10" s="198"/>
      <c r="E10" s="227" t="str">
        <f>"Labor @ $" &amp;TEXT('General Variables'!B4,"#.00")&amp; " /Hr"</f>
        <v>Labor @ $20.00 /Hr</v>
      </c>
      <c r="F10" s="227" t="str">
        <f>"Fuel @ $" &amp; TEXT('General Variables'!B5,"#.00") &amp; " and Lube"</f>
        <v>Fuel @ $2.25 and Lube</v>
      </c>
      <c r="G10" s="230" t="s">
        <v>72</v>
      </c>
      <c r="H10" s="230"/>
      <c r="I10" s="230" t="s">
        <v>354</v>
      </c>
      <c r="J10" s="230"/>
      <c r="K10" s="230" t="s">
        <v>2</v>
      </c>
      <c r="L10" s="227" t="s">
        <v>361</v>
      </c>
    </row>
    <row r="11" spans="1:15" s="140" customFormat="1" ht="21.75" customHeight="1" thickBot="1" x14ac:dyDescent="0.25">
      <c r="B11" s="229"/>
      <c r="C11" s="226"/>
      <c r="D11" s="197" t="s">
        <v>70</v>
      </c>
      <c r="E11" s="226"/>
      <c r="F11" s="226"/>
      <c r="G11" s="199" t="s">
        <v>73</v>
      </c>
      <c r="H11" s="199" t="s">
        <v>75</v>
      </c>
      <c r="I11" s="199" t="s">
        <v>73</v>
      </c>
      <c r="J11" s="199" t="s">
        <v>75</v>
      </c>
      <c r="K11" s="231"/>
      <c r="L11" s="226"/>
    </row>
    <row r="12" spans="1:15" ht="13.5" thickTop="1" x14ac:dyDescent="0.2">
      <c r="A12" s="196">
        <v>1</v>
      </c>
      <c r="B12" s="204" t="s">
        <v>545</v>
      </c>
      <c r="C12" s="206">
        <v>1</v>
      </c>
      <c r="D12" s="200"/>
      <c r="E12" s="142">
        <f>IF(B12=0,"",IF(C12&gt;9999,"",ROUND('General Variables'!$B$4*VLOOKUP(B12,Operations!$A$2:$U$101,10,FALSE)/VLOOKUP(B12,Operations!$A$2:$U$101,9,FALSE)*C12,2)))</f>
        <v>1.57</v>
      </c>
      <c r="F12" s="142">
        <f>IF(B12=0,0,IF(C12&gt;9999,"",ROUND(IF(VLOOKUP(B12,Operations!$A$2:$U$101,12,FALSE)=0,VLOOKUP(B12,Operations!$A$2:$U$101,13,FALSE)*'General Variables'!$B$8,VLOOKUP(B12,Operations!$A$2:$U$101,12,FALSE)*'General Variables'!$B$7)/VLOOKUP(B12,Operations!$A$2:$U$101,9,FALSE)*C12,2)))</f>
        <v>0.79</v>
      </c>
      <c r="G12" s="142">
        <f>IF(B12=0,0,IF(C12&gt;9999,"",ROUND(VLOOKUP(VLOOKUP(B12,Operations!$A$2:$U$101,11,FALSE),PowerUnits[],10,FALSE)/VLOOKUP(B12,Operations!$A$2:$U$101,9,FALSE)*C12,2)))</f>
        <v>0.66</v>
      </c>
      <c r="H12" s="142">
        <f>IF(B12=0,"",IF(C12&gt;9999,"",ROUND(VLOOKUP($B12,Operations!$A$2:$U$101,15,FALSE)*C12,2)))</f>
        <v>0</v>
      </c>
      <c r="I12" s="142">
        <f>IF(B12=0,0,IF(C12&gt;9999,"",ROUND(VLOOKUP(VLOOKUP(B12,Operations!$A$2:$U$101,11,FALSE),PowerUnits[],16,FALSE)/VLOOKUP(B12,Operations!$A$2:$U$101,9,FALSE)*C12,2)))</f>
        <v>2.1800000000000002</v>
      </c>
      <c r="J12" s="142">
        <f>IF(B12=0,"",IF(C12&gt;9999,"",ROUND(VLOOKUP($B12,Operations!$A$2:$U$101,21,FALSE)*$C12,2)))</f>
        <v>0</v>
      </c>
      <c r="K12" s="142">
        <f>IF(C12&gt;9999,"",ROUND(SUM(E12:J12),2))</f>
        <v>5.2</v>
      </c>
      <c r="L12" s="143"/>
    </row>
    <row r="13" spans="1:15" x14ac:dyDescent="0.2">
      <c r="A13" s="196">
        <v>2</v>
      </c>
      <c r="B13" s="204" t="s">
        <v>563</v>
      </c>
      <c r="C13" s="206">
        <v>1</v>
      </c>
      <c r="D13" s="200"/>
      <c r="E13" s="142">
        <f>IF(B13=0,"",IF(C13&gt;9999,"",ROUND('General Variables'!$B$4*VLOOKUP(B13,Operations!$A$2:$U$101,10,FALSE)/VLOOKUP(B13,Operations!$A$2:$U$101,9,FALSE)*C13,2)))</f>
        <v>2</v>
      </c>
      <c r="F13" s="142">
        <f>IF(B13=0,0,IF(C13&gt;9999,"",ROUND(IF(VLOOKUP(B13,Operations!$A$2:$U$101,12,FALSE)=0,VLOOKUP(B13,Operations!$A$2:$U$101,13,FALSE)*'General Variables'!$B$8,VLOOKUP(B13,Operations!$A$2:$U$101,12,FALSE)*'General Variables'!$B$7)/VLOOKUP(B13,Operations!$A$2:$U$101,9,FALSE)*C13,2)))</f>
        <v>1.29</v>
      </c>
      <c r="G13" s="142">
        <f>IF(B13=0,0,IF(C13&gt;9999,"",ROUND(VLOOKUP(VLOOKUP(B13,Operations!$A$2:$U$101,11,FALSE),PowerUnits[],10,FALSE)/VLOOKUP(B13,Operations!$A$2:$U$101,9,FALSE)*C13,2)))</f>
        <v>2.29</v>
      </c>
      <c r="H13" s="142">
        <f>IF(B13=0,"",IF(C13&gt;9999,"",ROUND(VLOOKUP($B13,Operations!$A$2:$U$101,15,FALSE)*C13,2)))</f>
        <v>0</v>
      </c>
      <c r="I13" s="142">
        <f>IF(B13=0,0,IF(C13&gt;9999,"",ROUND(VLOOKUP(VLOOKUP(B13,Operations!$A$2:$U$101,11,FALSE),PowerUnits[],16,FALSE)/VLOOKUP(B13,Operations!$A$2:$U$101,9,FALSE)*C13,2)))</f>
        <v>3.61</v>
      </c>
      <c r="J13" s="142">
        <f>IF(B13=0,"",IF(C13&gt;9999,"",ROUND(VLOOKUP($B13,Operations!$A$2:$U$101,21,FALSE)*$C13,2)))</f>
        <v>0</v>
      </c>
      <c r="K13" s="142">
        <f t="shared" ref="K13:K31" si="0">IF(C13&gt;9999,"",ROUND(SUM(E13:J13),2))</f>
        <v>9.19</v>
      </c>
      <c r="L13" s="143"/>
    </row>
    <row r="14" spans="1:15" x14ac:dyDescent="0.2">
      <c r="A14" s="196">
        <v>3</v>
      </c>
      <c r="B14" s="204" t="s">
        <v>541</v>
      </c>
      <c r="C14" s="205">
        <f>A4</f>
        <v>2.2000000000000002</v>
      </c>
      <c r="D14" s="200" t="s">
        <v>57</v>
      </c>
      <c r="E14" s="142">
        <f>IF(B14=0,"",IF(C14&gt;9999,"",ROUND('General Variables'!$B$4*VLOOKUP(B14,Operations!$A$2:$U$101,10,FALSE)/VLOOKUP(B14,Operations!$A$2:$U$101,9,FALSE)*C14,2)))</f>
        <v>4.84</v>
      </c>
      <c r="F14" s="142">
        <f>IF(B14=0,0,IF(C14&gt;9999,"",ROUND(IF(VLOOKUP(B14,Operations!$A$2:$U$101,12,FALSE)=0,VLOOKUP(B14,Operations!$A$2:$U$101,13,FALSE)*'General Variables'!$B$8,VLOOKUP(B14,Operations!$A$2:$U$101,12,FALSE)*'General Variables'!$B$7)/VLOOKUP(B14,Operations!$A$2:$U$101,9,FALSE)*C14,2)))</f>
        <v>1.64</v>
      </c>
      <c r="G14" s="142">
        <f>IF(B14=0,0,IF(C14&gt;9999,"",ROUND(VLOOKUP(VLOOKUP(B14,Operations!$A$2:$U$101,11,FALSE),PowerUnits[],10,FALSE)/VLOOKUP(B14,Operations!$A$2:$U$101,9,FALSE)*C14,2)))</f>
        <v>1.83</v>
      </c>
      <c r="H14" s="142">
        <f>IF(B14=0,"",IF(C14&gt;9999,"",ROUND(VLOOKUP($B14,Operations!$A$2:$U$101,15,FALSE)*C14,2)))</f>
        <v>4.43</v>
      </c>
      <c r="I14" s="142">
        <f>IF(B14=0,0,IF(C14&gt;9999,"",ROUND(VLOOKUP(VLOOKUP(B14,Operations!$A$2:$U$101,11,FALSE),PowerUnits[],16,FALSE)/VLOOKUP(B14,Operations!$A$2:$U$101,9,FALSE)*C14,2)))</f>
        <v>6.08</v>
      </c>
      <c r="J14" s="142">
        <f>IF(B14=0,"",IF(C14&gt;9999,"",ROUND(VLOOKUP($B14,Operations!$A$2:$U$101,21,FALSE)*$C14,2)))</f>
        <v>4.62</v>
      </c>
      <c r="K14" s="142">
        <f>IF(C14&gt;9999,"",ROUND(SUM(E14:J14),2))</f>
        <v>23.44</v>
      </c>
      <c r="L14" s="143"/>
    </row>
    <row r="15" spans="1:15" x14ac:dyDescent="0.2">
      <c r="A15" s="196">
        <v>4</v>
      </c>
      <c r="B15" s="204" t="s">
        <v>544</v>
      </c>
      <c r="C15" s="205">
        <f>A4</f>
        <v>2.2000000000000002</v>
      </c>
      <c r="D15" s="200" t="s">
        <v>57</v>
      </c>
      <c r="E15" s="142">
        <f>IF(B15=0,"",IF(C15&gt;9999,"",ROUND('General Variables'!$B$4*VLOOKUP(B15,Operations!$A$2:$U$101,10,FALSE)/VLOOKUP(B15,Operations!$A$2:$U$101,9,FALSE)*C15,2)))</f>
        <v>2.42</v>
      </c>
      <c r="F15" s="142">
        <f>IF(B15=0,0,IF(C15&gt;9999,"",ROUND(IF(VLOOKUP(B15,Operations!$A$2:$U$101,12,FALSE)=0,VLOOKUP(B15,Operations!$A$2:$U$101,13,FALSE)*'General Variables'!$B$8,VLOOKUP(B15,Operations!$A$2:$U$101,12,FALSE)*'General Variables'!$B$7)/VLOOKUP(B15,Operations!$A$2:$U$101,9,FALSE)*C15,2)))</f>
        <v>1.1399999999999999</v>
      </c>
      <c r="G15" s="142">
        <f>IF(B15=0,0,IF(C15&gt;9999,"",ROUND(VLOOKUP(VLOOKUP(B15,Operations!$A$2:$U$101,11,FALSE),PowerUnits[],10,FALSE)/VLOOKUP(B15,Operations!$A$2:$U$101,9,FALSE)*C15,2)))</f>
        <v>0.92</v>
      </c>
      <c r="H15" s="142">
        <f>IF(B15=0,"",IF(C15&gt;9999,"",ROUND(VLOOKUP($B15,Operations!$A$2:$U$101,15,FALSE)*C15,2)))</f>
        <v>0</v>
      </c>
      <c r="I15" s="142">
        <f>IF(B15=0,0,IF(C15&gt;9999,"",ROUND(VLOOKUP(VLOOKUP(B15,Operations!$A$2:$U$101,11,FALSE),PowerUnits[],16,FALSE)/VLOOKUP(B15,Operations!$A$2:$U$101,9,FALSE)*C15,2)))</f>
        <v>3.04</v>
      </c>
      <c r="J15" s="142">
        <f>IF(B15=0,"",IF(C15&gt;9999,"",ROUND(VLOOKUP($B15,Operations!$A$2:$U$101,21,FALSE)*$C15,2)))</f>
        <v>0.13</v>
      </c>
      <c r="K15" s="142">
        <f>IF(C15&gt;9999,"",ROUND(SUM(E15:J15),2))</f>
        <v>7.65</v>
      </c>
      <c r="L15" s="143"/>
    </row>
    <row r="16" spans="1:15" hidden="1" x14ac:dyDescent="0.2">
      <c r="A16" s="196">
        <v>5</v>
      </c>
      <c r="B16" s="203"/>
      <c r="C16" s="205"/>
      <c r="D16" s="200"/>
      <c r="E16" s="142" t="str">
        <f>IF(B16=0,"",IF(C16&gt;9999,"",ROUND('General Variables'!$B$4*VLOOKUP(B16,Operations!$A$2:$U$101,10,FALSE)/VLOOKUP(B16,Operations!$A$2:$U$101,9,FALSE)*C16,2)))</f>
        <v/>
      </c>
      <c r="F16" s="142">
        <f>IF(B16=0,0,IF(C16&gt;9999,"",ROUND(IF(VLOOKUP(B16,Operations!$A$2:$U$101,12,FALSE)=0,VLOOKUP(B16,Operations!$A$2:$U$101,13,FALSE)*'General Variables'!$B$8,VLOOKUP(B16,Operations!$A$2:$U$101,12,FALSE)*'General Variables'!$B$7)/VLOOKUP(B16,Operations!$A$2:$U$101,9,FALSE)*C16,2)))</f>
        <v>0</v>
      </c>
      <c r="G16" s="142">
        <f>IF(B16=0,0,IF(C16&gt;9999,"",ROUND(VLOOKUP(VLOOKUP(B16,Operations!$A$2:$U$101,11,FALSE),PowerUnits[],10,FALSE)/VLOOKUP(B16,Operations!$A$2:$U$101,9,FALSE)*C16,2)))</f>
        <v>0</v>
      </c>
      <c r="H16" s="142" t="str">
        <f>IF(B16=0,"",IF(C16&gt;9999,"",ROUND(VLOOKUP($B16,Operations!$A$2:$U$101,15,FALSE)*C16,2)))</f>
        <v/>
      </c>
      <c r="I16" s="142">
        <f>IF(B16=0,0,IF(C16&gt;9999,"",ROUND(VLOOKUP(VLOOKUP(B16,Operations!$A$2:$U$101,11,FALSE),PowerUnits[],16,FALSE)/VLOOKUP(B16,Operations!$A$2:$U$101,9,FALSE)*C16,2)))</f>
        <v>0</v>
      </c>
      <c r="J16" s="142" t="str">
        <f>IF(B16=0,"",IF(C16&gt;9999,"",ROUND(VLOOKUP($B16,Operations!$A$2:$U$101,21,FALSE)*$C16,2)))</f>
        <v/>
      </c>
      <c r="K16" s="142">
        <f t="shared" si="0"/>
        <v>0</v>
      </c>
      <c r="L16" s="143"/>
    </row>
    <row r="17" spans="1:12" hidden="1" x14ac:dyDescent="0.2">
      <c r="A17" s="196">
        <v>6</v>
      </c>
      <c r="B17" s="203"/>
      <c r="C17" s="205"/>
      <c r="D17" s="200"/>
      <c r="E17" s="142" t="str">
        <f>IF(B17=0,"",IF(C17&gt;9999,"",ROUND('General Variables'!$B$4*VLOOKUP(B17,Operations!$A$2:$U$101,10,FALSE)/VLOOKUP(B17,Operations!$A$2:$U$101,9,FALSE)*C17,2)))</f>
        <v/>
      </c>
      <c r="F17" s="142">
        <f>IF(B17=0,0,IF(C17&gt;9999,"",ROUND(IF(VLOOKUP(B17,Operations!$A$2:$U$101,12,FALSE)=0,VLOOKUP(B17,Operations!$A$2:$U$101,13,FALSE)*'General Variables'!$B$8,VLOOKUP(B17,Operations!$A$2:$U$101,12,FALSE)*'General Variables'!$B$7)/VLOOKUP(B17,Operations!$A$2:$U$101,9,FALSE)*C17,2)))</f>
        <v>0</v>
      </c>
      <c r="G17" s="142">
        <f>IF(B17=0,0,IF(C17&gt;9999,"",ROUND(VLOOKUP(VLOOKUP(B17,Operations!$A$2:$U$101,11,FALSE),PowerUnits[],10,FALSE)/VLOOKUP(B17,Operations!$A$2:$U$101,9,FALSE)*C17,2)))</f>
        <v>0</v>
      </c>
      <c r="H17" s="142" t="str">
        <f>IF(B17=0,"",IF(C17&gt;9999,"",ROUND(VLOOKUP($B17,Operations!$A$2:$U$101,15,FALSE)*C17,2)))</f>
        <v/>
      </c>
      <c r="I17" s="142">
        <f>IF(B17=0,0,IF(C17&gt;9999,"",ROUND(VLOOKUP(VLOOKUP(B17,Operations!$A$2:$U$101,11,FALSE),PowerUnits[],16,FALSE)/VLOOKUP(B17,Operations!$A$2:$U$101,9,FALSE)*C17,2)))</f>
        <v>0</v>
      </c>
      <c r="J17" s="142" t="str">
        <f>IF(B17=0,"",IF(C17&gt;9999,"",ROUND(VLOOKUP($B17,Operations!$A$2:$U$101,21,FALSE)*$C17,2)))</f>
        <v/>
      </c>
      <c r="K17" s="142">
        <f t="shared" si="0"/>
        <v>0</v>
      </c>
      <c r="L17" s="143"/>
    </row>
    <row r="18" spans="1:12" hidden="1" x14ac:dyDescent="0.2">
      <c r="A18" s="196">
        <v>7</v>
      </c>
      <c r="B18" s="203"/>
      <c r="C18" s="205"/>
      <c r="D18" s="200"/>
      <c r="E18" s="142" t="str">
        <f>IF(B18=0,"",IF(C18&gt;9999,"",ROUND('General Variables'!$B$4*VLOOKUP(B18,Operations!$A$2:$U$101,10,FALSE)/VLOOKUP(B18,Operations!$A$2:$U$101,9,FALSE)*C18,2)))</f>
        <v/>
      </c>
      <c r="F18" s="142">
        <f>IF(B18=0,0,IF(C18&gt;9999,"",ROUND(IF(VLOOKUP(B18,Operations!$A$2:$U$101,12,FALSE)=0,VLOOKUP(B18,Operations!$A$2:$U$101,13,FALSE)*'General Variables'!$B$8,VLOOKUP(B18,Operations!$A$2:$U$101,12,FALSE)*'General Variables'!$B$7)/VLOOKUP(B18,Operations!$A$2:$U$101,9,FALSE)*C18,2)))</f>
        <v>0</v>
      </c>
      <c r="G18" s="142">
        <f>IF(B18=0,0,IF(C18&gt;9999,"",ROUND(VLOOKUP(VLOOKUP(B18,Operations!$A$2:$U$101,11,FALSE),PowerUnits[],10,FALSE)/VLOOKUP(B18,Operations!$A$2:$U$101,9,FALSE)*C18,2)))</f>
        <v>0</v>
      </c>
      <c r="H18" s="142" t="str">
        <f>IF(B18=0,"",IF(C18&gt;9999,"",ROUND(VLOOKUP($B18,Operations!$A$2:$U$101,15,FALSE)*C18,2)))</f>
        <v/>
      </c>
      <c r="I18" s="142">
        <f>IF(B18=0,0,IF(C18&gt;9999,"",ROUND(VLOOKUP(VLOOKUP(B18,Operations!$A$2:$U$101,11,FALSE),PowerUnits[],16,FALSE)/VLOOKUP(B18,Operations!$A$2:$U$101,9,FALSE)*C18,2)))</f>
        <v>0</v>
      </c>
      <c r="J18" s="142" t="str">
        <f>IF(B18=0,"",IF(C18&gt;9999,"",ROUND(VLOOKUP($B18,Operations!$A$2:$U$101,21,FALSE)*$C18,2)))</f>
        <v/>
      </c>
      <c r="K18" s="142">
        <f t="shared" si="0"/>
        <v>0</v>
      </c>
      <c r="L18" s="143"/>
    </row>
    <row r="19" spans="1:12" hidden="1" x14ac:dyDescent="0.2">
      <c r="A19" s="196">
        <v>8</v>
      </c>
      <c r="B19" s="203"/>
      <c r="C19" s="205"/>
      <c r="D19" s="200"/>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6">
        <v>9</v>
      </c>
      <c r="B20" s="203"/>
      <c r="C20" s="205"/>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6">
        <v>10</v>
      </c>
      <c r="B21" s="203"/>
      <c r="C21" s="205"/>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6">
        <v>11</v>
      </c>
      <c r="B22" s="203"/>
      <c r="C22" s="205"/>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6">
        <v>12</v>
      </c>
      <c r="B23" s="203"/>
      <c r="C23" s="205"/>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6">
        <v>13</v>
      </c>
      <c r="B24" s="203"/>
      <c r="C24" s="205"/>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6">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6">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6">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6">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6">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6">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6">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6"/>
      <c r="B32" s="146"/>
      <c r="C32" s="147"/>
      <c r="D32" s="147"/>
      <c r="E32" s="148"/>
      <c r="F32" s="148"/>
      <c r="G32" s="148"/>
      <c r="H32" s="148"/>
      <c r="I32" s="148"/>
      <c r="J32" s="148"/>
      <c r="K32" s="148"/>
      <c r="L32" s="149"/>
    </row>
    <row r="33" spans="1:12" ht="13.5" thickTop="1" x14ac:dyDescent="0.2">
      <c r="C33" s="139" t="s">
        <v>74</v>
      </c>
      <c r="D33" s="139"/>
      <c r="E33" s="150">
        <f>SUM(E12:E31)</f>
        <v>10.83</v>
      </c>
      <c r="F33" s="150">
        <f t="shared" ref="F33:K33" si="1">SUM(F12:F31)</f>
        <v>4.8599999999999994</v>
      </c>
      <c r="G33" s="150">
        <f t="shared" si="1"/>
        <v>5.7</v>
      </c>
      <c r="H33" s="150">
        <f t="shared" si="1"/>
        <v>4.43</v>
      </c>
      <c r="I33" s="150">
        <f t="shared" si="1"/>
        <v>14.91</v>
      </c>
      <c r="J33" s="150">
        <f t="shared" si="1"/>
        <v>4.75</v>
      </c>
      <c r="K33" s="150">
        <f t="shared" si="1"/>
        <v>45.48</v>
      </c>
      <c r="L33" s="143"/>
    </row>
    <row r="35" spans="1:12" ht="24" customHeight="1" thickBot="1" x14ac:dyDescent="0.25">
      <c r="B35" s="136"/>
      <c r="C35" s="136"/>
      <c r="D35" s="136"/>
      <c r="E35" s="136"/>
      <c r="F35" s="226" t="s">
        <v>85</v>
      </c>
      <c r="G35" s="226" t="s">
        <v>82</v>
      </c>
      <c r="H35" s="227" t="s">
        <v>86</v>
      </c>
      <c r="I35" s="227"/>
      <c r="J35" s="226" t="s">
        <v>62</v>
      </c>
      <c r="L35" s="227" t="s">
        <v>361</v>
      </c>
    </row>
    <row r="36" spans="1:12" s="151" customFormat="1" ht="18.75" customHeight="1" thickTop="1" thickBot="1" x14ac:dyDescent="0.25">
      <c r="B36" s="152" t="s">
        <v>81</v>
      </c>
      <c r="C36" s="197"/>
      <c r="D36" s="197"/>
      <c r="E36" s="197"/>
      <c r="F36" s="226"/>
      <c r="G36" s="226"/>
      <c r="H36" s="190" t="s">
        <v>87</v>
      </c>
      <c r="I36" s="191" t="s">
        <v>70</v>
      </c>
      <c r="J36" s="226"/>
      <c r="K36" s="197" t="s">
        <v>83</v>
      </c>
      <c r="L36" s="226"/>
    </row>
    <row r="37" spans="1:12" ht="13.5" thickTop="1" x14ac:dyDescent="0.2">
      <c r="A37" s="175"/>
      <c r="B37" s="204" t="s">
        <v>14</v>
      </c>
      <c r="C37" s="220" t="str">
        <f>IF(B37=0,"",VLOOKUP($B37,Materials!$B$2:$H$127,2,FALSE))</f>
        <v>Fertilizer</v>
      </c>
      <c r="D37" s="220"/>
      <c r="E37" s="220"/>
      <c r="F37" s="206">
        <v>1</v>
      </c>
      <c r="G37" s="211">
        <v>1</v>
      </c>
      <c r="H37" s="210">
        <v>40</v>
      </c>
      <c r="I37" s="153" t="str">
        <f>IF($B37=0,"",VLOOKUP($B37,Materials!$B$2:$H$127,5,FALSE))</f>
        <v>lbs N</v>
      </c>
      <c r="J37" s="142">
        <f>IF($B37=0,"",VLOOKUP($B37,Materials!$B$2:$H$127,7,FALSE))</f>
        <v>0.48</v>
      </c>
      <c r="K37" s="150">
        <f>IF(B37=0,0,ROUND(G37*H37*J37,2))</f>
        <v>19.2</v>
      </c>
      <c r="L37" s="143"/>
    </row>
    <row r="38" spans="1:12" x14ac:dyDescent="0.2">
      <c r="A38" s="175"/>
      <c r="B38" s="204" t="s">
        <v>9</v>
      </c>
      <c r="C38" s="220" t="str">
        <f>IF(B38=0,"",VLOOKUP($B38,Materials!$B$2:$H$127,2,FALSE))</f>
        <v>Fertilizer</v>
      </c>
      <c r="D38" s="220"/>
      <c r="E38" s="220"/>
      <c r="F38" s="206">
        <v>1</v>
      </c>
      <c r="G38" s="211">
        <v>1</v>
      </c>
      <c r="H38" s="210">
        <v>15</v>
      </c>
      <c r="I38" s="153" t="str">
        <f>IF($B38=0,"",VLOOKUP($B38,Materials!$B$2:$H$127,5,FALSE))</f>
        <v>pound</v>
      </c>
      <c r="J38" s="142">
        <f>IF($B38=0,"",VLOOKUP($B38,Materials!$B$2:$H$127,7,FALSE))</f>
        <v>0.28000000000000003</v>
      </c>
      <c r="K38" s="150">
        <f t="shared" ref="K38:K55" si="2">IF(B38=0,0,ROUND(G38*H38*J38,2))</f>
        <v>4.2</v>
      </c>
      <c r="L38" s="143"/>
    </row>
    <row r="39" spans="1:12" x14ac:dyDescent="0.2">
      <c r="A39" s="175"/>
      <c r="B39" s="204" t="s">
        <v>565</v>
      </c>
      <c r="C39" s="220" t="str">
        <f>IF(B39=0,"",VLOOKUP($B39,Materials!$B$2:$H$127,2,FALSE))</f>
        <v>Other</v>
      </c>
      <c r="D39" s="220"/>
      <c r="E39" s="220"/>
      <c r="F39" s="206">
        <v>3</v>
      </c>
      <c r="G39" s="211">
        <v>1</v>
      </c>
      <c r="H39" s="210">
        <f>A4</f>
        <v>2.2000000000000002</v>
      </c>
      <c r="I39" s="153" t="str">
        <f>IF($B39=0,"",VLOOKUP($B39,Materials!$B$2:$H$127,5,FALSE))</f>
        <v>ton</v>
      </c>
      <c r="J39" s="142">
        <f>IF($B39=0,"",VLOOKUP($B39,Materials!$B$2:$H$127,7,FALSE))</f>
        <v>0.90968161143599735</v>
      </c>
      <c r="K39" s="150">
        <f t="shared" si="2"/>
        <v>2</v>
      </c>
      <c r="L39" s="143"/>
    </row>
    <row r="40" spans="1:12" hidden="1" x14ac:dyDescent="0.2">
      <c r="A40" s="175"/>
      <c r="B40" s="203"/>
      <c r="C40" s="220" t="str">
        <f>IF(B40=0,"",VLOOKUP($B40,Materials!$B$2:$H$127,2,FALSE))</f>
        <v/>
      </c>
      <c r="D40" s="220"/>
      <c r="E40" s="220"/>
      <c r="F40" s="205"/>
      <c r="G40" s="207"/>
      <c r="H40" s="208"/>
      <c r="I40" s="153" t="str">
        <f>IF($B40=0,"",VLOOKUP($B40,Materials!$B$2:$H$127,5,FALSE))</f>
        <v/>
      </c>
      <c r="J40" s="142" t="str">
        <f>IF($B40=0,"",VLOOKUP($B40,Materials!$B$2:$H$127,7,FALSE))</f>
        <v/>
      </c>
      <c r="K40" s="150">
        <f t="shared" si="2"/>
        <v>0</v>
      </c>
      <c r="L40" s="143"/>
    </row>
    <row r="41" spans="1:12" hidden="1" x14ac:dyDescent="0.2">
      <c r="A41" s="175"/>
      <c r="B41" s="203"/>
      <c r="C41" s="220" t="str">
        <f>IF(B41=0,"",VLOOKUP($B41,Materials!$B$2:$H$127,2,FALSE))</f>
        <v/>
      </c>
      <c r="D41" s="220"/>
      <c r="E41" s="220"/>
      <c r="F41" s="205"/>
      <c r="G41" s="207"/>
      <c r="H41" s="209"/>
      <c r="I41" s="153" t="str">
        <f>IF($B41=0,"",VLOOKUP($B41,Materials!$B$2:$H$127,5,FALSE))</f>
        <v/>
      </c>
      <c r="J41" s="142" t="str">
        <f>IF($B41=0,"",VLOOKUP($B41,Materials!$B$2:$H$127,7,FALSE))</f>
        <v/>
      </c>
      <c r="K41" s="150">
        <f t="shared" si="2"/>
        <v>0</v>
      </c>
      <c r="L41" s="143"/>
    </row>
    <row r="42" spans="1:12" hidden="1" x14ac:dyDescent="0.2">
      <c r="A42" s="175"/>
      <c r="B42" s="203"/>
      <c r="C42" s="220" t="str">
        <f>IF(B42=0,"",VLOOKUP($B42,Materials!$B$2:$H$127,2,FALSE))</f>
        <v/>
      </c>
      <c r="D42" s="220"/>
      <c r="E42" s="220"/>
      <c r="F42" s="205"/>
      <c r="G42" s="207"/>
      <c r="H42" s="209"/>
      <c r="I42" s="153" t="str">
        <f>IF($B42=0,"",VLOOKUP($B42,Materials!$B$2:$H$127,5,FALSE))</f>
        <v/>
      </c>
      <c r="J42" s="142" t="str">
        <f>IF($B42=0,"",VLOOKUP($B42,Materials!$B$2:$H$127,7,FALSE))</f>
        <v/>
      </c>
      <c r="K42" s="150">
        <f t="shared" si="2"/>
        <v>0</v>
      </c>
      <c r="L42" s="143"/>
    </row>
    <row r="43" spans="1:12" hidden="1" x14ac:dyDescent="0.2">
      <c r="A43" s="180"/>
      <c r="B43" s="203"/>
      <c r="C43" s="220" t="str">
        <f>IF(B43=0,"",VLOOKUP($B43,Materials!$B$2:$H$127,2,FALSE))</f>
        <v/>
      </c>
      <c r="D43" s="220"/>
      <c r="E43" s="220"/>
      <c r="F43" s="205"/>
      <c r="G43" s="207"/>
      <c r="H43" s="208"/>
      <c r="I43" s="153" t="str">
        <f>IF($B43=0,"",VLOOKUP($B43,Materials!$B$2:$H$127,5,FALSE))</f>
        <v/>
      </c>
      <c r="J43" s="142" t="str">
        <f>IF($B43=0,"",VLOOKUP($B43,Materials!$B$2:$H$127,7,FALSE))</f>
        <v/>
      </c>
      <c r="K43" s="150">
        <f t="shared" si="2"/>
        <v>0</v>
      </c>
      <c r="L43" s="143"/>
    </row>
    <row r="44" spans="1:12" hidden="1" x14ac:dyDescent="0.2">
      <c r="A44" s="180"/>
      <c r="B44" s="203"/>
      <c r="C44" s="220" t="str">
        <f>IF(B44=0,"",VLOOKUP($B44,Materials!$B$2:$H$127,2,FALSE))</f>
        <v/>
      </c>
      <c r="D44" s="220"/>
      <c r="E44" s="220"/>
      <c r="F44" s="205"/>
      <c r="G44" s="207"/>
      <c r="H44" s="208"/>
      <c r="I44" s="153" t="str">
        <f>IF($B44=0,"",VLOOKUP($B44,Materials!$B$2:$H$127,5,FALSE))</f>
        <v/>
      </c>
      <c r="J44" s="142" t="str">
        <f>IF($B44=0,"",VLOOKUP($B44,Materials!$B$2:$H$127,7,FALSE))</f>
        <v/>
      </c>
      <c r="K44" s="150">
        <f t="shared" si="2"/>
        <v>0</v>
      </c>
      <c r="L44" s="143"/>
    </row>
    <row r="45" spans="1:12" hidden="1" x14ac:dyDescent="0.2">
      <c r="A45" s="180"/>
      <c r="B45" s="203"/>
      <c r="C45" s="220" t="str">
        <f>IF(B45=0,"",VLOOKUP($B45,Materials!$B$2:$H$127,2,FALSE))</f>
        <v/>
      </c>
      <c r="D45" s="220"/>
      <c r="E45" s="220"/>
      <c r="F45" s="205"/>
      <c r="G45" s="207"/>
      <c r="H45" s="208"/>
      <c r="I45" s="153" t="str">
        <f>IF($B45=0,"",VLOOKUP($B45,Materials!$B$2:$H$127,5,FALSE))</f>
        <v/>
      </c>
      <c r="J45" s="142" t="str">
        <f>IF($B45=0,"",VLOOKUP($B45,Materials!$B$2:$H$127,7,FALSE))</f>
        <v/>
      </c>
      <c r="K45" s="150">
        <f t="shared" si="2"/>
        <v>0</v>
      </c>
      <c r="L45" s="143"/>
    </row>
    <row r="46" spans="1:12" hidden="1" x14ac:dyDescent="0.2">
      <c r="A46" s="180"/>
      <c r="B46" s="203"/>
      <c r="C46" s="220" t="str">
        <f>IF(B46=0,"",VLOOKUP($B46,Materials!$B$2:$H$127,2,FALSE))</f>
        <v/>
      </c>
      <c r="D46" s="220"/>
      <c r="E46" s="220"/>
      <c r="F46" s="205"/>
      <c r="G46" s="207"/>
      <c r="H46" s="208"/>
      <c r="I46" s="153" t="str">
        <f>IF($B46=0,"",VLOOKUP($B46,Materials!$B$2:$H$127,5,FALSE))</f>
        <v/>
      </c>
      <c r="J46" s="142" t="str">
        <f>IF($B46=0,"",VLOOKUP($B46,Materials!$B$2:$H$127,7,FALSE))</f>
        <v/>
      </c>
      <c r="K46" s="150">
        <f t="shared" si="2"/>
        <v>0</v>
      </c>
      <c r="L46" s="143"/>
    </row>
    <row r="47" spans="1:12" hidden="1" x14ac:dyDescent="0.2">
      <c r="A47" s="180"/>
      <c r="B47" s="203"/>
      <c r="C47" s="220" t="str">
        <f>IF(B47=0,"",VLOOKUP($B47,Materials!$B$2:$H$127,2,FALSE))</f>
        <v/>
      </c>
      <c r="D47" s="220"/>
      <c r="E47" s="220"/>
      <c r="F47" s="205"/>
      <c r="G47" s="207"/>
      <c r="H47" s="208"/>
      <c r="I47" s="153" t="str">
        <f>IF($B47=0,"",VLOOKUP($B47,Materials!$B$2:$H$127,5,FALSE))</f>
        <v/>
      </c>
      <c r="J47" s="142" t="str">
        <f>IF($B47=0,"",VLOOKUP($B47,Materials!$B$2:$H$127,7,FALSE))</f>
        <v/>
      </c>
      <c r="K47" s="150">
        <f t="shared" si="2"/>
        <v>0</v>
      </c>
      <c r="L47" s="143"/>
    </row>
    <row r="48" spans="1:12" hidden="1" x14ac:dyDescent="0.2">
      <c r="A48" s="175"/>
      <c r="B48" s="203"/>
      <c r="C48" s="220" t="str">
        <f>IF(B48=0,"",VLOOKUP($B48,Materials!$B$2:$H$127,2,FALSE))</f>
        <v/>
      </c>
      <c r="D48" s="220"/>
      <c r="E48" s="220"/>
      <c r="F48" s="205"/>
      <c r="G48" s="207"/>
      <c r="H48" s="208"/>
      <c r="I48" s="153" t="str">
        <f>IF($B48=0,"",VLOOKUP($B48,Materials!$B$2:$H$127,5,FALSE))</f>
        <v/>
      </c>
      <c r="J48" s="142" t="str">
        <f>IF($B48=0,"",VLOOKUP($B48,Materials!$B$2:$H$127,7,FALSE))</f>
        <v/>
      </c>
      <c r="K48" s="150">
        <f t="shared" si="2"/>
        <v>0</v>
      </c>
      <c r="L48" s="143"/>
    </row>
    <row r="49" spans="1:12" hidden="1" x14ac:dyDescent="0.2">
      <c r="A49" s="175"/>
      <c r="B49" s="203"/>
      <c r="C49" s="220" t="str">
        <f>IF(B49=0,"",VLOOKUP($B49,Materials!$B$2:$H$127,2,FALSE))</f>
        <v/>
      </c>
      <c r="D49" s="220"/>
      <c r="E49" s="220"/>
      <c r="F49" s="205"/>
      <c r="G49" s="207"/>
      <c r="H49" s="208"/>
      <c r="I49" s="153" t="str">
        <f>IF($B49=0,"",VLOOKUP($B49,Materials!$B$2:$H$127,5,FALSE))</f>
        <v/>
      </c>
      <c r="J49" s="142" t="str">
        <f>IF($B49=0,"",VLOOKUP($B49,Materials!$B$2:$H$127,7,FALSE))</f>
        <v/>
      </c>
      <c r="K49" s="150">
        <f t="shared" si="2"/>
        <v>0</v>
      </c>
      <c r="L49" s="143"/>
    </row>
    <row r="50" spans="1:12" hidden="1" x14ac:dyDescent="0.2">
      <c r="B50" s="204"/>
      <c r="C50" s="220" t="str">
        <f>IF(B50=0,"",VLOOKUP($B50,Materials!$B$2:$H$127,2,FALSE))</f>
        <v/>
      </c>
      <c r="D50" s="220"/>
      <c r="E50" s="220"/>
      <c r="F50" s="206"/>
      <c r="G50" s="207"/>
      <c r="H50" s="210"/>
      <c r="I50" s="153" t="str">
        <f>IF($B50=0,"",VLOOKUP($B50,Materials!$B$2:$H$127,5,FALSE))</f>
        <v/>
      </c>
      <c r="J50" s="142" t="str">
        <f>IF($B50=0,"",VLOOKUP($B50,Materials!$B$2:$H$127,7,FALSE))</f>
        <v/>
      </c>
      <c r="K50" s="150">
        <f t="shared" si="2"/>
        <v>0</v>
      </c>
      <c r="L50" s="143"/>
    </row>
    <row r="51" spans="1:12" hidden="1" x14ac:dyDescent="0.2">
      <c r="B51" s="204"/>
      <c r="C51" s="220" t="str">
        <f>IF(B51=0,"",VLOOKUP($B51,Materials!$B$2:$H$127,2,FALSE))</f>
        <v/>
      </c>
      <c r="D51" s="220"/>
      <c r="E51" s="220"/>
      <c r="F51" s="206"/>
      <c r="G51" s="207"/>
      <c r="H51" s="210"/>
      <c r="I51" s="153" t="str">
        <f>IF($B51=0,"",VLOOKUP($B51,Materials!$B$2:$H$127,5,FALSE))</f>
        <v/>
      </c>
      <c r="J51" s="142" t="str">
        <f>IF($B51=0,"",VLOOKUP($B51,Materials!$B$2:$H$127,7,FALSE))</f>
        <v/>
      </c>
      <c r="K51" s="150">
        <f t="shared" si="2"/>
        <v>0</v>
      </c>
      <c r="L51" s="143"/>
    </row>
    <row r="52" spans="1:12" hidden="1" x14ac:dyDescent="0.2">
      <c r="B52" s="204"/>
      <c r="C52" s="220" t="str">
        <f>IF(B52=0,"",VLOOKUP($B52,Materials!$B$2:$H$127,2,FALSE))</f>
        <v/>
      </c>
      <c r="D52" s="220"/>
      <c r="E52" s="220"/>
      <c r="F52" s="206"/>
      <c r="G52" s="211"/>
      <c r="H52" s="210"/>
      <c r="I52" s="153" t="str">
        <f>IF($B52=0,"",VLOOKUP($B52,Materials!$B$2:$H$127,5,FALSE))</f>
        <v/>
      </c>
      <c r="J52" s="142" t="str">
        <f>IF($B52=0,"",VLOOKUP($B52,Materials!$B$2:$H$127,7,FALSE))</f>
        <v/>
      </c>
      <c r="K52" s="150">
        <f t="shared" si="2"/>
        <v>0</v>
      </c>
      <c r="L52" s="143"/>
    </row>
    <row r="53" spans="1:12" hidden="1" x14ac:dyDescent="0.2">
      <c r="B53" s="204"/>
      <c r="C53" s="220" t="str">
        <f>IF(B53=0,"",VLOOKUP($B53,Materials!$B$2:$H$127,2,FALSE))</f>
        <v/>
      </c>
      <c r="D53" s="220"/>
      <c r="E53" s="220"/>
      <c r="F53" s="206"/>
      <c r="G53" s="211"/>
      <c r="H53" s="210"/>
      <c r="I53" s="153" t="str">
        <f>IF($B53=0,"",VLOOKUP($B53,Materials!$B$2:$H$127,5,FALSE))</f>
        <v/>
      </c>
      <c r="J53" s="142" t="str">
        <f>IF($B53=0,"",VLOOKUP($B53,Materials!$B$2:$H$127,7,FALSE))</f>
        <v/>
      </c>
      <c r="K53" s="150">
        <f t="shared" si="2"/>
        <v>0</v>
      </c>
      <c r="L53" s="143"/>
    </row>
    <row r="54" spans="1:12" hidden="1" x14ac:dyDescent="0.2">
      <c r="B54" s="204"/>
      <c r="C54" s="220" t="str">
        <f>IF(B54=0,"",VLOOKUP($B54,Materials!$B$2:$H$127,2,FALSE))</f>
        <v/>
      </c>
      <c r="D54" s="220"/>
      <c r="E54" s="220"/>
      <c r="F54" s="206"/>
      <c r="G54" s="211"/>
      <c r="H54" s="210"/>
      <c r="I54" s="153" t="str">
        <f>IF($B54=0,"",VLOOKUP($B54,Materials!$B$2:$H$127,5,FALSE))</f>
        <v/>
      </c>
      <c r="J54" s="142" t="str">
        <f>IF($B54=0,"",VLOOKUP($B54,Materials!$B$2:$H$127,7,FALSE))</f>
        <v/>
      </c>
      <c r="K54" s="150">
        <f t="shared" si="2"/>
        <v>0</v>
      </c>
      <c r="L54" s="143"/>
    </row>
    <row r="55" spans="1:12" hidden="1" x14ac:dyDescent="0.2">
      <c r="B55" s="204"/>
      <c r="C55" s="220" t="str">
        <f>IF(B55=0,"",VLOOKUP($B55,Materials!$B$2:$H$127,2,FALSE))</f>
        <v/>
      </c>
      <c r="D55" s="220"/>
      <c r="E55" s="220"/>
      <c r="F55" s="206"/>
      <c r="G55" s="211"/>
      <c r="H55" s="210"/>
      <c r="I55" s="153" t="str">
        <f>IF($B55=0,"",VLOOKUP($B55,Materials!$B$2:$H$127,5,FALSE))</f>
        <v/>
      </c>
      <c r="J55" s="142" t="str">
        <f>IF($B55=0,"",VLOOKUP($B55,Materials!$B$2:$H$127,7,FALSE))</f>
        <v/>
      </c>
      <c r="K55" s="150">
        <f t="shared" si="2"/>
        <v>0</v>
      </c>
      <c r="L55" s="145"/>
    </row>
    <row r="56" spans="1:12" hidden="1" x14ac:dyDescent="0.2">
      <c r="B56" s="204"/>
      <c r="C56" s="220" t="str">
        <f>IF(B56=0,"",VLOOKUP($B56,Materials!$B$2:$H$127,2,FALSE))</f>
        <v/>
      </c>
      <c r="D56" s="220"/>
      <c r="E56" s="220"/>
      <c r="F56" s="206"/>
      <c r="G56" s="211"/>
      <c r="H56" s="210"/>
      <c r="I56" s="153" t="str">
        <f>IF($B56=0,"",VLOOKUP($B56,Materials!$B$2:$H$127,5,FALSE))</f>
        <v/>
      </c>
      <c r="J56" s="142" t="str">
        <f>IF($B56=0,"",VLOOKUP($B56,Materials!$B$2:$H$127,7,FALSE))</f>
        <v/>
      </c>
      <c r="K56" s="150">
        <f>IF(B56=0,0,ROUND(G56*H56*J56,2))</f>
        <v>0</v>
      </c>
      <c r="L56" s="145"/>
    </row>
    <row r="57" spans="1:12" hidden="1" x14ac:dyDescent="0.2">
      <c r="B57" s="204"/>
      <c r="C57" s="220" t="str">
        <f>IF(B57=0,"",VLOOKUP($B57,Materials!$B$2:$H$127,2,FALSE))</f>
        <v/>
      </c>
      <c r="D57" s="220"/>
      <c r="E57" s="220"/>
      <c r="F57" s="206"/>
      <c r="G57" s="211"/>
      <c r="H57" s="210"/>
      <c r="I57" s="153" t="str">
        <f>IF($B57=0,"",VLOOKUP($B57,Materials!$B$2:$H$127,5,FALSE))</f>
        <v/>
      </c>
      <c r="J57" s="142" t="str">
        <f>IF($B57=0,"",VLOOKUP($B57,Materials!$B$2:$H$127,7,FALSE))</f>
        <v/>
      </c>
      <c r="K57" s="150">
        <f>IF(B57=0,0,ROUND(G57*H57*J57,2))</f>
        <v>0</v>
      </c>
      <c r="L57" s="145"/>
    </row>
    <row r="58" spans="1:12" hidden="1" x14ac:dyDescent="0.2">
      <c r="B58" s="204"/>
      <c r="C58" s="220" t="str">
        <f>IF(B58=0,"",VLOOKUP($B58,Materials!$B$2:$H$127,2,FALSE))</f>
        <v/>
      </c>
      <c r="D58" s="220"/>
      <c r="E58" s="220"/>
      <c r="F58" s="206"/>
      <c r="G58" s="211"/>
      <c r="H58" s="210"/>
      <c r="I58" s="153" t="str">
        <f>IF($B58=0,"",VLOOKUP($B58,Materials!$B$2:$H$127,5,FALSE))</f>
        <v/>
      </c>
      <c r="J58" s="142" t="str">
        <f>IF($B58=0,"",VLOOKUP($B58,Materials!$B$2:$H$127,7,FALSE))</f>
        <v/>
      </c>
      <c r="K58" s="150">
        <f>IF(B58=0,0,ROUND(G58*H58*J58,2))</f>
        <v>0</v>
      </c>
      <c r="L58" s="145"/>
    </row>
    <row r="59" spans="1:12" hidden="1" x14ac:dyDescent="0.2">
      <c r="B59" s="204"/>
      <c r="C59" s="220" t="str">
        <f>IF(B59=0,"",VLOOKUP($B59,Materials!$B$2:$H$127,2,FALSE))</f>
        <v/>
      </c>
      <c r="D59" s="220"/>
      <c r="E59" s="220"/>
      <c r="F59" s="206"/>
      <c r="G59" s="211"/>
      <c r="H59" s="210"/>
      <c r="I59" s="153" t="str">
        <f>IF($B59=0,"",VLOOKUP($B59,Materials!$B$2:$H$127,5,FALSE))</f>
        <v/>
      </c>
      <c r="J59" s="142" t="str">
        <f>IF($B59=0,"",VLOOKUP($B59,Materials!$B$2:$H$127,7,FALSE))</f>
        <v/>
      </c>
      <c r="K59" s="150">
        <f>IF(B59=0,0,ROUND(G59*H59*J59,2))</f>
        <v>0</v>
      </c>
      <c r="L59" s="145"/>
    </row>
    <row r="60" spans="1:12" hidden="1" x14ac:dyDescent="0.2">
      <c r="B60" s="204"/>
      <c r="C60" s="220" t="str">
        <f>IF(B60=0,"",VLOOKUP($B60,Materials!$B$2:$H$127,2,FALSE))</f>
        <v/>
      </c>
      <c r="D60" s="220"/>
      <c r="E60" s="220"/>
      <c r="F60" s="206"/>
      <c r="G60" s="211"/>
      <c r="H60" s="210"/>
      <c r="I60" s="153" t="str">
        <f>IF($B60=0,"",VLOOKUP($B60,Materials!$B$2:$H$127,5,FALSE))</f>
        <v/>
      </c>
      <c r="J60" s="142" t="str">
        <f>IF($B60=0,"",VLOOKUP($B60,Materials!$B$2:$H$127,7,FALSE))</f>
        <v/>
      </c>
      <c r="K60" s="150">
        <f>IF(B60=0,0,ROUND(G60*H60*J60,2))</f>
        <v>0</v>
      </c>
      <c r="L60" s="145"/>
    </row>
    <row r="61" spans="1:12" hidden="1" x14ac:dyDescent="0.2">
      <c r="B61" s="204"/>
      <c r="C61" s="220">
        <f>IF(B61=0,0,"Crop Insurance")</f>
        <v>0</v>
      </c>
      <c r="D61" s="220"/>
      <c r="E61" s="220"/>
      <c r="F61" s="144"/>
      <c r="G61" s="201"/>
      <c r="H61" s="202"/>
      <c r="I61" s="195"/>
      <c r="J61" s="142"/>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25.4</v>
      </c>
      <c r="L63" s="143"/>
    </row>
    <row r="64" spans="1:12" x14ac:dyDescent="0.2">
      <c r="B64" s="181"/>
      <c r="K64" s="161"/>
    </row>
    <row r="65" spans="2:12" x14ac:dyDescent="0.2">
      <c r="B65" s="140" t="s">
        <v>552</v>
      </c>
      <c r="K65" s="161">
        <f>K33+K63</f>
        <v>70.88</v>
      </c>
      <c r="L65" s="143"/>
    </row>
    <row r="66" spans="2:12" ht="13.5" thickBot="1" x14ac:dyDescent="0.25">
      <c r="D66" s="162" t="s">
        <v>570</v>
      </c>
      <c r="E66" s="163">
        <f>ROUND(SUM($E$33:$H$33)+$K$63,2)</f>
        <v>51.22</v>
      </c>
      <c r="F66" s="222" t="s">
        <v>362</v>
      </c>
      <c r="G66" s="222"/>
      <c r="H66" s="164">
        <f>'General Variables'!$B$11</f>
        <v>5.5E-2</v>
      </c>
      <c r="I66" s="165" t="str">
        <f>CONCATENATE("for ",TEXT('General Variables'!$B$12,"0.0")," mo.")</f>
        <v>for 6.0 mo.</v>
      </c>
      <c r="K66" s="166">
        <f>E66*H66*'General Variables'!$B$12/12</f>
        <v>1.40855</v>
      </c>
      <c r="L66" s="167"/>
    </row>
    <row r="67" spans="2:12" ht="13.5" thickTop="1" x14ac:dyDescent="0.2">
      <c r="B67" s="140" t="s">
        <v>366</v>
      </c>
      <c r="K67" s="161">
        <f>SUM(K65:K66)</f>
        <v>72.288550000000001</v>
      </c>
      <c r="L67" s="143"/>
    </row>
    <row r="68" spans="2:12" x14ac:dyDescent="0.2">
      <c r="K68" s="161"/>
    </row>
    <row r="69" spans="2:12" x14ac:dyDescent="0.2">
      <c r="B69" s="168" t="s">
        <v>588</v>
      </c>
      <c r="C69" s="169"/>
      <c r="D69" s="169"/>
      <c r="E69" s="169"/>
      <c r="F69" s="169"/>
      <c r="G69" s="169"/>
      <c r="H69" s="169"/>
      <c r="I69" s="169"/>
      <c r="J69" s="169"/>
      <c r="K69" s="170">
        <f>'General Variables'!B14</f>
        <v>20</v>
      </c>
      <c r="L69" s="143"/>
    </row>
    <row r="70" spans="2:12" x14ac:dyDescent="0.2">
      <c r="B70" s="129" t="s">
        <v>369</v>
      </c>
      <c r="C70" s="223" t="s">
        <v>420</v>
      </c>
      <c r="D70" s="224"/>
      <c r="E70" s="225"/>
      <c r="F70" s="171">
        <f>IF(C70=0,0,VLOOKUP(C70,RETable,2,FALSE))</f>
        <v>3390</v>
      </c>
      <c r="G70" s="222" t="s">
        <v>370</v>
      </c>
      <c r="H70" s="222"/>
      <c r="I70" s="164">
        <f>'General Variables'!$B$10</f>
        <v>0.04</v>
      </c>
      <c r="K70" s="172">
        <f>ROUND(F70*I70,2)</f>
        <v>135.6</v>
      </c>
      <c r="L70" s="143"/>
    </row>
    <row r="71" spans="2:12" ht="13.5" thickBot="1" x14ac:dyDescent="0.25">
      <c r="B71" s="129" t="s">
        <v>378</v>
      </c>
      <c r="F71" s="173">
        <f>IF(C70=0,0,VLOOKUP(C70,RETable,2,FALSE))</f>
        <v>3390</v>
      </c>
      <c r="G71" s="221" t="s">
        <v>370</v>
      </c>
      <c r="H71" s="221"/>
      <c r="I71" s="174">
        <f>'General Variables'!$B$13</f>
        <v>0.01</v>
      </c>
      <c r="J71" s="175"/>
      <c r="K71" s="176">
        <f>ROUND(F71*I71,2)</f>
        <v>33.9</v>
      </c>
      <c r="L71" s="167"/>
    </row>
    <row r="72" spans="2:12" ht="13.5" thickTop="1" x14ac:dyDescent="0.2">
      <c r="B72" s="140" t="s">
        <v>383</v>
      </c>
      <c r="K72" s="161">
        <f>SUM(K67:K71)</f>
        <v>261.78854999999999</v>
      </c>
      <c r="L72" s="143"/>
    </row>
    <row r="73" spans="2:12" x14ac:dyDescent="0.2">
      <c r="K73" s="162"/>
    </row>
    <row r="74" spans="2:12" x14ac:dyDescent="0.2">
      <c r="B74" s="140" t="str">
        <f>"Cost per "&amp;$B$4</f>
        <v>Cost per ton</v>
      </c>
      <c r="K74" s="177">
        <f>IF(A4="Yield",0,K72/$A$4)</f>
        <v>118.99479545454544</v>
      </c>
      <c r="L74" s="143"/>
    </row>
    <row r="75" spans="2:12" x14ac:dyDescent="0.2">
      <c r="B75" s="178" t="str">
        <f>"Cash Cost per "&amp;$B$4</f>
        <v>Cash Cost per ton</v>
      </c>
      <c r="C75" s="175"/>
      <c r="D75" s="175"/>
      <c r="E75" s="175"/>
      <c r="F75" s="175"/>
      <c r="G75" s="175"/>
      <c r="H75" s="175"/>
      <c r="I75" s="175"/>
      <c r="J75" s="175"/>
      <c r="K75" s="179">
        <f>IF($A$4="Yield",0,(E66+K66+K71)/$A$4)</f>
        <v>39.331159090909082</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505</v>
      </c>
    </row>
    <row r="112" spans="2:11" x14ac:dyDescent="0.2">
      <c r="B112" s="175"/>
      <c r="C112" s="175"/>
      <c r="D112" s="175"/>
      <c r="H112" s="129" t="str">
        <f>'General Variables'!A20</f>
        <v>Corn Irrigated</v>
      </c>
      <c r="K112" s="129" t="s">
        <v>506</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9">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44-Millet</v>
      </c>
      <c r="B2" s="131"/>
      <c r="C2" s="132" t="s">
        <v>576</v>
      </c>
      <c r="D2" s="132"/>
      <c r="E2" s="131"/>
      <c r="I2" s="133" t="s">
        <v>419</v>
      </c>
      <c r="J2" s="131"/>
      <c r="L2" s="134" t="str">
        <f>'General Variables'!A3&amp;" "&amp;'General Variables'!B3</f>
        <v>Year 2016</v>
      </c>
      <c r="O2" s="135" t="s">
        <v>407</v>
      </c>
    </row>
    <row r="3" spans="1:15" hidden="1" x14ac:dyDescent="0.2">
      <c r="A3" s="130" t="s">
        <v>551</v>
      </c>
      <c r="B3" s="131"/>
      <c r="C3" s="132"/>
      <c r="D3" s="132"/>
      <c r="E3" s="131"/>
      <c r="G3" s="136"/>
      <c r="I3" s="131" t="s">
        <v>539</v>
      </c>
      <c r="O3" s="135" t="s">
        <v>406</v>
      </c>
    </row>
    <row r="4" spans="1:15" hidden="1" x14ac:dyDescent="0.2">
      <c r="A4" s="130">
        <v>22</v>
      </c>
      <c r="B4" s="130" t="s">
        <v>66</v>
      </c>
      <c r="C4" s="132"/>
      <c r="D4" s="132"/>
      <c r="E4" s="131"/>
      <c r="F4" s="131"/>
      <c r="G4" s="131"/>
      <c r="H4" s="131"/>
      <c r="I4" s="131"/>
      <c r="J4" s="134" t="s">
        <v>504</v>
      </c>
      <c r="K4" s="140"/>
      <c r="O4" s="135" t="str">
        <f>B4</f>
        <v>cwt</v>
      </c>
    </row>
    <row r="5" spans="1:15" ht="15.75" hidden="1" x14ac:dyDescent="0.25">
      <c r="A5" s="219" t="str">
        <f ca="1" xml:space="preserve"> A2  &amp; IF(C2="","",  ", " &amp;C2 ) &amp; ", " &amp; A3 &amp; ", " &amp; I2</f>
        <v>44-Millet, Panhandle, Stubble Mulch Fallow, Followed by Wheat, Two Crops in Three Years, Dryland</v>
      </c>
      <c r="B5" s="219"/>
      <c r="C5" s="219"/>
      <c r="D5" s="219"/>
      <c r="E5" s="219"/>
      <c r="F5" s="219"/>
      <c r="G5" s="219"/>
      <c r="H5" s="219"/>
      <c r="I5" s="219"/>
      <c r="J5" s="219"/>
      <c r="K5" s="219"/>
      <c r="L5" s="219"/>
      <c r="O5" s="135"/>
    </row>
    <row r="6" spans="1:15" ht="15.75" hidden="1" x14ac:dyDescent="0.25">
      <c r="A6" s="194"/>
      <c r="B6" s="194"/>
      <c r="C6" s="194"/>
      <c r="D6" s="194"/>
      <c r="E6" s="194"/>
      <c r="F6" s="194"/>
      <c r="G6" s="194"/>
      <c r="H6" s="194"/>
      <c r="I6" s="194"/>
      <c r="J6" s="194"/>
      <c r="K6" s="194"/>
      <c r="L6" s="194"/>
      <c r="O6" s="135"/>
    </row>
    <row r="7" spans="1:15" ht="32.25" customHeight="1" x14ac:dyDescent="0.25">
      <c r="A7" s="219" t="str">
        <f ca="1">'General Variables'!B3 &amp; " Budget "  &amp; A2 &amp;", "  &amp; IF(C2=0,"", " " &amp; C2 &amp; ", ") &amp;  A3 &amp; IF(A4=""," ", " (") &amp; A4 &amp; " " &amp; B4 &amp; IF(A4="",""," Actual Yield)")</f>
        <v>2016 Budget 44-Millet,  Panhandle, Stubble Mulch Fallow, Followed by Wheat, Two Crops in Three Years (22 cwt Actual Yield)</v>
      </c>
      <c r="B7" s="219"/>
      <c r="C7" s="219"/>
      <c r="D7" s="219"/>
      <c r="E7" s="219"/>
      <c r="F7" s="219"/>
      <c r="G7" s="219"/>
      <c r="H7" s="219"/>
      <c r="I7" s="219"/>
      <c r="J7" s="219"/>
      <c r="K7" s="219"/>
      <c r="L7" s="219"/>
      <c r="O7" s="135"/>
    </row>
    <row r="8" spans="1:15" ht="15.75" x14ac:dyDescent="0.25">
      <c r="A8" s="188" t="str">
        <f>IF(I2="Dryland","Dryland",I2 &amp; IF(J2="","",", "&amp;J2)&amp;IF(H3="","",", "&amp;H3&amp;" "&amp;I3))</f>
        <v>Dryland</v>
      </c>
      <c r="B8" s="130"/>
      <c r="C8" s="132"/>
      <c r="D8" s="132"/>
      <c r="E8" s="131"/>
      <c r="F8" s="131"/>
      <c r="G8" s="131"/>
      <c r="H8" s="131"/>
      <c r="I8" s="131"/>
      <c r="O8" s="135"/>
    </row>
    <row r="10" spans="1:15" s="140" customFormat="1" ht="22.5" customHeight="1" x14ac:dyDescent="0.2">
      <c r="B10" s="228" t="s">
        <v>71</v>
      </c>
      <c r="C10" s="227" t="s">
        <v>1</v>
      </c>
      <c r="D10" s="198"/>
      <c r="E10" s="227" t="str">
        <f>"Labor @ $" &amp;TEXT('General Variables'!B4,"#.00")&amp; " /Hr"</f>
        <v>Labor @ $20.00 /Hr</v>
      </c>
      <c r="F10" s="227" t="str">
        <f>"Fuel @ $" &amp; TEXT('General Variables'!B5,"#.00") &amp; " and Lube"</f>
        <v>Fuel @ $2.25 and Lube</v>
      </c>
      <c r="G10" s="230" t="s">
        <v>72</v>
      </c>
      <c r="H10" s="230"/>
      <c r="I10" s="230" t="s">
        <v>354</v>
      </c>
      <c r="J10" s="230"/>
      <c r="K10" s="230" t="s">
        <v>2</v>
      </c>
      <c r="L10" s="227" t="s">
        <v>361</v>
      </c>
    </row>
    <row r="11" spans="1:15" s="140" customFormat="1" ht="21.75" customHeight="1" thickBot="1" x14ac:dyDescent="0.25">
      <c r="B11" s="229"/>
      <c r="C11" s="226"/>
      <c r="D11" s="197" t="s">
        <v>70</v>
      </c>
      <c r="E11" s="226"/>
      <c r="F11" s="226"/>
      <c r="G11" s="199" t="s">
        <v>73</v>
      </c>
      <c r="H11" s="199" t="s">
        <v>75</v>
      </c>
      <c r="I11" s="199" t="s">
        <v>73</v>
      </c>
      <c r="J11" s="199" t="s">
        <v>75</v>
      </c>
      <c r="K11" s="231"/>
      <c r="L11" s="226"/>
    </row>
    <row r="12" spans="1:15" ht="13.5" thickTop="1" x14ac:dyDescent="0.2">
      <c r="A12" s="196">
        <v>1</v>
      </c>
      <c r="B12" s="203" t="s">
        <v>51</v>
      </c>
      <c r="C12" s="205">
        <v>1</v>
      </c>
      <c r="D12" s="200"/>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2">
        <f>IF(C12&gt;9999,"",ROUND(SUM(E12:J12),2))</f>
        <v>4.2300000000000004</v>
      </c>
      <c r="L12" s="143"/>
    </row>
    <row r="13" spans="1:15" x14ac:dyDescent="0.2">
      <c r="A13" s="196">
        <v>2</v>
      </c>
      <c r="B13" s="203" t="s">
        <v>281</v>
      </c>
      <c r="C13" s="205">
        <v>1</v>
      </c>
      <c r="D13" s="200"/>
      <c r="E13" s="142">
        <f>IF(B13=0,"",IF(C13&gt;9999,"",ROUND('General Variables'!$B$4*VLOOKUP(B13,Operations!$A$2:$U$101,10,FALSE)/VLOOKUP(B13,Operations!$A$2:$U$101,9,FALSE)*C13,2)))</f>
        <v>1.76</v>
      </c>
      <c r="F13" s="142">
        <f>IF(B13=0,0,IF(C13&gt;9999,"",ROUND(IF(VLOOKUP(B13,Operations!$A$2:$U$101,12,FALSE)=0,VLOOKUP(B13,Operations!$A$2:$U$101,13,FALSE)*'General Variables'!$B$8,VLOOKUP(B13,Operations!$A$2:$U$101,12,FALSE)*'General Variables'!$B$7)/VLOOKUP(B13,Operations!$A$2:$U$101,9,FALSE)*C13,2)))</f>
        <v>1.78</v>
      </c>
      <c r="G13" s="142">
        <f>IF(B13=0,0,IF(C13&gt;9999,"",ROUND(VLOOKUP(VLOOKUP(B13,Operations!$A$2:$U$101,11,FALSE),PowerUnits[],10,FALSE)/VLOOKUP(B13,Operations!$A$2:$U$101,9,FALSE)*C13,2)))</f>
        <v>0.25</v>
      </c>
      <c r="H13" s="142">
        <f>IF(B13=0,"",IF(C13&gt;9999,"",ROUND(VLOOKUP($B13,Operations!$A$2:$U$101,15,FALSE)*C13,2)))</f>
        <v>0.92</v>
      </c>
      <c r="I13" s="142">
        <f>IF(B13=0,0,IF(C13&gt;9999,"",ROUND(VLOOKUP(VLOOKUP(B13,Operations!$A$2:$U$101,11,FALSE),PowerUnits[],16,FALSE)/VLOOKUP(B13,Operations!$A$2:$U$101,9,FALSE)*C13,2)))</f>
        <v>3.62</v>
      </c>
      <c r="J13" s="142">
        <f>IF(B13=0,"",IF(C13&gt;9999,"",ROUND(VLOOKUP($B13,Operations!$A$2:$U$101,21,FALSE)*$C13,2)))</f>
        <v>1.57</v>
      </c>
      <c r="K13" s="142">
        <f t="shared" ref="K13:K31" si="0">IF(C13&gt;9999,"",ROUND(SUM(E13:J13),2))</f>
        <v>9.9</v>
      </c>
      <c r="L13" s="143"/>
    </row>
    <row r="14" spans="1:15" x14ac:dyDescent="0.2">
      <c r="A14" s="196">
        <v>3</v>
      </c>
      <c r="B14" s="203" t="s">
        <v>291</v>
      </c>
      <c r="C14" s="205">
        <v>1</v>
      </c>
      <c r="D14" s="200"/>
      <c r="E14" s="142">
        <f>IF(B14=0,"",IF(C14&gt;9999,"",ROUND('General Variables'!$B$4*VLOOKUP(B14,Operations!$A$2:$U$101,10,FALSE)/VLOOKUP(B14,Operations!$A$2:$U$101,9,FALSE)*C14,2)))</f>
        <v>1.52</v>
      </c>
      <c r="F14" s="142">
        <f>IF(B14=0,0,IF(C14&gt;9999,"",ROUND(IF(VLOOKUP(B14,Operations!$A$2:$U$101,12,FALSE)=0,VLOOKUP(B14,Operations!$A$2:$U$101,13,FALSE)*'General Variables'!$B$8,VLOOKUP(B14,Operations!$A$2:$U$101,12,FALSE)*'General Variables'!$B$7)/VLOOKUP(B14,Operations!$A$2:$U$101,9,FALSE)*C14,2)))</f>
        <v>1.05</v>
      </c>
      <c r="G14" s="142">
        <f>IF(B14=0,0,IF(C14&gt;9999,"",ROUND(VLOOKUP(VLOOKUP(B14,Operations!$A$2:$U$101,11,FALSE),PowerUnits[],10,FALSE)/VLOOKUP(B14,Operations!$A$2:$U$101,9,FALSE)*C14,2)))</f>
        <v>0.63</v>
      </c>
      <c r="H14" s="142">
        <f>IF(B14=0,"",IF(C14&gt;9999,"",ROUND(VLOOKUP($B14,Operations!$A$2:$U$101,15,FALSE)*C14,2)))</f>
        <v>0.23</v>
      </c>
      <c r="I14" s="142">
        <f>IF(B14=0,0,IF(C14&gt;9999,"",ROUND(VLOOKUP(VLOOKUP(B14,Operations!$A$2:$U$101,11,FALSE),PowerUnits[],16,FALSE)/VLOOKUP(B14,Operations!$A$2:$U$101,9,FALSE)*C14,2)))</f>
        <v>2.09</v>
      </c>
      <c r="J14" s="142">
        <f>IF(B14=0,"",IF(C14&gt;9999,"",ROUND(VLOOKUP($B14,Operations!$A$2:$U$101,21,FALSE)*$C14,2)))</f>
        <v>0.99</v>
      </c>
      <c r="K14" s="142">
        <f t="shared" si="0"/>
        <v>6.51</v>
      </c>
      <c r="L14" s="143"/>
    </row>
    <row r="15" spans="1:15" x14ac:dyDescent="0.2">
      <c r="A15" s="196">
        <v>4</v>
      </c>
      <c r="B15" s="203" t="s">
        <v>499</v>
      </c>
      <c r="C15" s="205">
        <v>1</v>
      </c>
      <c r="D15" s="200"/>
      <c r="E15" s="142">
        <f>IF(B15=0,"",IF(C15&gt;9999,"",ROUND('General Variables'!$B$4*VLOOKUP(B15,Operations!$A$2:$U$101,10,FALSE)/VLOOKUP(B15,Operations!$A$2:$U$101,9,FALSE)*C15,2)))</f>
        <v>1</v>
      </c>
      <c r="F15" s="142">
        <f>IF(B15=0,0,IF(C15&gt;9999,"",ROUND(IF(VLOOKUP(B15,Operations!$A$2:$U$101,12,FALSE)=0,VLOOKUP(B15,Operations!$A$2:$U$101,13,FALSE)*'General Variables'!$B$8,VLOOKUP(B15,Operations!$A$2:$U$101,12,FALSE)*'General Variables'!$B$7)/VLOOKUP(B15,Operations!$A$2:$U$101,9,FALSE)*C15,2)))</f>
        <v>0.27</v>
      </c>
      <c r="G15" s="142">
        <f>IF(B15=0,0,IF(C15&gt;9999,"",ROUND(VLOOKUP(VLOOKUP(B15,Operations!$A$2:$U$101,11,FALSE),PowerUnits[],10,FALSE)/VLOOKUP(B15,Operations!$A$2:$U$101,9,FALSE)*C15,2)))</f>
        <v>0.33</v>
      </c>
      <c r="H15" s="142">
        <f>IF(B15=0,"",IF(C15&gt;9999,"",ROUND(VLOOKUP($B15,Operations!$A$2:$U$101,15,FALSE)*C15,2)))</f>
        <v>0.19</v>
      </c>
      <c r="I15" s="142">
        <f>IF(B15=0,0,IF(C15&gt;9999,"",ROUND(VLOOKUP(VLOOKUP(B15,Operations!$A$2:$U$101,11,FALSE),PowerUnits[],16,FALSE)/VLOOKUP(B15,Operations!$A$2:$U$101,9,FALSE)*C15,2)))</f>
        <v>1.1100000000000001</v>
      </c>
      <c r="J15" s="142">
        <f>IF(B15=0,"",IF(C15&gt;9999,"",ROUND(VLOOKUP($B15,Operations!$A$2:$U$101,21,FALSE)*$C15,2)))</f>
        <v>2.21</v>
      </c>
      <c r="K15" s="142">
        <f t="shared" si="0"/>
        <v>5.1100000000000003</v>
      </c>
      <c r="L15" s="143"/>
    </row>
    <row r="16" spans="1:15" x14ac:dyDescent="0.2">
      <c r="A16" s="196">
        <v>5</v>
      </c>
      <c r="B16" s="203" t="s">
        <v>279</v>
      </c>
      <c r="C16" s="205">
        <v>1</v>
      </c>
      <c r="D16" s="200"/>
      <c r="E16" s="142">
        <f>IF(B16=0,"",IF(C16&gt;9999,"",ROUND('General Variables'!$B$4*VLOOKUP(B16,Operations!$A$2:$U$101,10,FALSE)/VLOOKUP(B16,Operations!$A$2:$U$101,9,FALSE)*C16,2)))</f>
        <v>1.76</v>
      </c>
      <c r="F16" s="142">
        <f>IF(B16=0,0,IF(C16&gt;9999,"",ROUND(IF(VLOOKUP(B16,Operations!$A$2:$U$101,12,FALSE)=0,VLOOKUP(B16,Operations!$A$2:$U$101,13,FALSE)*'General Variables'!$B$8,VLOOKUP(B16,Operations!$A$2:$U$101,12,FALSE)*'General Variables'!$B$7)/VLOOKUP(B16,Operations!$A$2:$U$101,9,FALSE)*C16,2)))</f>
        <v>1.03</v>
      </c>
      <c r="G16" s="142">
        <f>IF(B16=0,0,IF(C16&gt;9999,"",ROUND(VLOOKUP(VLOOKUP(B16,Operations!$A$2:$U$101,11,FALSE),PowerUnits[],10,FALSE)/VLOOKUP(B16,Operations!$A$2:$U$101,9,FALSE)*C16,2)))</f>
        <v>0.67</v>
      </c>
      <c r="H16" s="142">
        <f>IF(B16=0,"",IF(C16&gt;9999,"",ROUND(VLOOKUP($B16,Operations!$A$2:$U$101,15,FALSE)*C16,2)))</f>
        <v>2.94</v>
      </c>
      <c r="I16" s="142">
        <f>IF(B16=0,0,IF(C16&gt;9999,"",ROUND(VLOOKUP(VLOOKUP(B16,Operations!$A$2:$U$101,11,FALSE),PowerUnits[],16,FALSE)/VLOOKUP(B16,Operations!$A$2:$U$101,9,FALSE)*C16,2)))</f>
        <v>2.21</v>
      </c>
      <c r="J16" s="142">
        <f>IF(B16=0,"",IF(C16&gt;9999,"",ROUND(VLOOKUP($B16,Operations!$A$2:$U$101,21,FALSE)*$C16,2)))</f>
        <v>2.62</v>
      </c>
      <c r="K16" s="142">
        <f t="shared" si="0"/>
        <v>11.23</v>
      </c>
      <c r="L16" s="143"/>
    </row>
    <row r="17" spans="1:12" x14ac:dyDescent="0.2">
      <c r="A17" s="196">
        <v>6</v>
      </c>
      <c r="B17" s="203" t="s">
        <v>51</v>
      </c>
      <c r="C17" s="205">
        <v>1</v>
      </c>
      <c r="D17" s="200"/>
      <c r="E17" s="142">
        <f>IF(B17=0,"",IF(C17&gt;9999,"",ROUND('General Variables'!$B$4*VLOOKUP(B17,Operations!$A$2:$U$101,10,FALSE)/VLOOKUP(B17,Operations!$A$2:$U$101,9,FALSE)*C17,2)))</f>
        <v>1</v>
      </c>
      <c r="F17" s="142">
        <f>IF(B17=0,0,IF(C17&gt;9999,"",ROUND(IF(VLOOKUP(B17,Operations!$A$2:$U$101,12,FALSE)=0,VLOOKUP(B17,Operations!$A$2:$U$101,13,FALSE)*'General Variables'!$B$8,VLOOKUP(B17,Operations!$A$2:$U$101,12,FALSE)*'General Variables'!$B$7)/VLOOKUP(B17,Operations!$A$2:$U$101,9,FALSE)*C17,2)))</f>
        <v>0.27</v>
      </c>
      <c r="G17" s="142">
        <f>IF(B17=0,0,IF(C17&gt;9999,"",ROUND(VLOOKUP(VLOOKUP(B17,Operations!$A$2:$U$101,11,FALSE),PowerUnits[],10,FALSE)/VLOOKUP(B17,Operations!$A$2:$U$101,9,FALSE)*C17,2)))</f>
        <v>0.33</v>
      </c>
      <c r="H17" s="142">
        <f>IF(B17=0,"",IF(C17&gt;9999,"",ROUND(VLOOKUP($B17,Operations!$A$2:$U$101,15,FALSE)*C17,2)))</f>
        <v>0.64</v>
      </c>
      <c r="I17" s="142">
        <f>IF(B17=0,0,IF(C17&gt;9999,"",ROUND(VLOOKUP(VLOOKUP(B17,Operations!$A$2:$U$101,11,FALSE),PowerUnits[],16,FALSE)/VLOOKUP(B17,Operations!$A$2:$U$101,9,FALSE)*C17,2)))</f>
        <v>1.1100000000000001</v>
      </c>
      <c r="J17" s="142">
        <f>IF(B17=0,"",IF(C17&gt;9999,"",ROUND(VLOOKUP($B17,Operations!$A$2:$U$101,21,FALSE)*$C17,2)))</f>
        <v>0.88</v>
      </c>
      <c r="K17" s="142">
        <f t="shared" si="0"/>
        <v>4.2300000000000004</v>
      </c>
      <c r="L17" s="143"/>
    </row>
    <row r="18" spans="1:12" x14ac:dyDescent="0.2">
      <c r="A18" s="196">
        <v>7</v>
      </c>
      <c r="B18" s="203" t="s">
        <v>300</v>
      </c>
      <c r="C18" s="205">
        <v>1</v>
      </c>
      <c r="D18" s="200"/>
      <c r="E18" s="142">
        <f>IF(B18=0,"",IF(C18&gt;9999,"",ROUND('General Variables'!$B$4*VLOOKUP(B18,Operations!$A$2:$U$101,10,FALSE)/VLOOKUP(B18,Operations!$A$2:$U$101,9,FALSE)*C18,2)))</f>
        <v>2</v>
      </c>
      <c r="F18" s="142">
        <f>IF(B18=0,0,IF(C18&gt;9999,"",ROUND(IF(VLOOKUP(B18,Operations!$A$2:$U$101,12,FALSE)=0,VLOOKUP(B18,Operations!$A$2:$U$101,13,FALSE)*'General Variables'!$B$8,VLOOKUP(B18,Operations!$A$2:$U$101,12,FALSE)*'General Variables'!$B$7)/VLOOKUP(B18,Operations!$A$2:$U$101,9,FALSE)*C18,2)))</f>
        <v>1.29</v>
      </c>
      <c r="G18" s="142">
        <f>IF(B18=0,0,IF(C18&gt;9999,"",ROUND(VLOOKUP(VLOOKUP(B18,Operations!$A$2:$U$101,11,FALSE),PowerUnits[],10,FALSE)/VLOOKUP(B18,Operations!$A$2:$U$101,9,FALSE)*C18,2)))</f>
        <v>2.29</v>
      </c>
      <c r="H18" s="142">
        <f>IF(B18=0,"",IF(C18&gt;9999,"",ROUND(VLOOKUP($B18,Operations!$A$2:$U$101,15,FALSE)*C18,2)))</f>
        <v>0</v>
      </c>
      <c r="I18" s="142">
        <f>IF(B18=0,0,IF(C18&gt;9999,"",ROUND(VLOOKUP(VLOOKUP(B18,Operations!$A$2:$U$101,11,FALSE),PowerUnits[],16,FALSE)/VLOOKUP(B18,Operations!$A$2:$U$101,9,FALSE)*C18,2)))</f>
        <v>3.61</v>
      </c>
      <c r="J18" s="142">
        <f>IF(B18=0,"",IF(C18&gt;9999,"",ROUND(VLOOKUP($B18,Operations!$A$2:$U$101,21,FALSE)*$C18,2)))</f>
        <v>0</v>
      </c>
      <c r="K18" s="142">
        <f t="shared" si="0"/>
        <v>9.19</v>
      </c>
      <c r="L18" s="143"/>
    </row>
    <row r="19" spans="1:12" x14ac:dyDescent="0.2">
      <c r="A19" s="196">
        <v>8</v>
      </c>
      <c r="B19" s="203" t="s">
        <v>490</v>
      </c>
      <c r="C19" s="205">
        <v>1</v>
      </c>
      <c r="D19" s="200"/>
      <c r="E19" s="142">
        <f>IF(B19=0,"",IF(C19&gt;9999,"",ROUND('General Variables'!$B$4*VLOOKUP(B19,Operations!$A$2:$U$101,10,FALSE)/VLOOKUP(B19,Operations!$A$2:$U$101,9,FALSE)*C19,2)))</f>
        <v>3.14</v>
      </c>
      <c r="F19" s="142">
        <f>IF(B19=0,0,IF(C19&gt;9999,"",ROUND(IF(VLOOKUP(B19,Operations!$A$2:$U$101,12,FALSE)=0,VLOOKUP(B19,Operations!$A$2:$U$101,13,FALSE)*'General Variables'!$B$8,VLOOKUP(B19,Operations!$A$2:$U$101,12,FALSE)*'General Variables'!$B$7)/VLOOKUP(B19,Operations!$A$2:$U$101,9,FALSE)*C19,2)))</f>
        <v>3.87</v>
      </c>
      <c r="G19" s="142">
        <f>IF(B19=0,0,IF(C19&gt;9999,"",ROUND(VLOOKUP(VLOOKUP(B19,Operations!$A$2:$U$101,11,FALSE),PowerUnits[],10,FALSE)/VLOOKUP(B19,Operations!$A$2:$U$101,9,FALSE)*C19,2)))</f>
        <v>7.31</v>
      </c>
      <c r="H19" s="142">
        <f>IF(B19=0,"",IF(C19&gt;9999,"",ROUND(VLOOKUP($B19,Operations!$A$2:$U$101,15,FALSE)*C19,2)))</f>
        <v>0.93</v>
      </c>
      <c r="I19" s="142">
        <f>IF(B19=0,0,IF(C19&gt;9999,"",ROUND(VLOOKUP(VLOOKUP(B19,Operations!$A$2:$U$101,11,FALSE),PowerUnits[],16,FALSE)/VLOOKUP(B19,Operations!$A$2:$U$101,9,FALSE)*C19,2)))</f>
        <v>5.99</v>
      </c>
      <c r="J19" s="142">
        <f>IF(B19=0,"",IF(C19&gt;9999,"",ROUND(VLOOKUP($B19,Operations!$A$2:$U$101,21,FALSE)*$C19,2)))</f>
        <v>2.81</v>
      </c>
      <c r="K19" s="142">
        <f t="shared" si="0"/>
        <v>24.05</v>
      </c>
      <c r="L19" s="143"/>
    </row>
    <row r="20" spans="1:12" x14ac:dyDescent="0.2">
      <c r="A20" s="196">
        <v>9</v>
      </c>
      <c r="B20" s="203" t="s">
        <v>298</v>
      </c>
      <c r="C20" s="205" t="s">
        <v>3</v>
      </c>
      <c r="D20" s="144"/>
      <c r="E20" s="142" t="str">
        <f>IF(B20=0,"",IF(C20&gt;9999,"",ROUND('General Variables'!$B$4*VLOOKUP(B20,Operations!$A$2:$U$101,10,FALSE)/VLOOKUP(B20,Operations!$A$2:$U$101,9,FALSE)*C20,2)))</f>
        <v/>
      </c>
      <c r="F20" s="142" t="str">
        <f>IF(B20=0,0,IF(C20&gt;9999,"",ROUND(IF(VLOOKUP(B20,Operations!$A$2:$U$101,12,FALSE)=0,VLOOKUP(B20,Operations!$A$2:$U$101,13,FALSE)*'General Variables'!$B$8,VLOOKUP(B20,Operations!$A$2:$U$101,12,FALSE)*'General Variables'!$B$7)/VLOOKUP(B20,Operations!$A$2:$U$101,9,FALSE)*C20,2)))</f>
        <v/>
      </c>
      <c r="G20" s="142" t="str">
        <f>IF(B20=0,0,IF(C20&gt;9999,"",ROUND(VLOOKUP(VLOOKUP(B20,Operations!$A$2:$U$101,11,FALSE),PowerUnits[],10,FALSE)/VLOOKUP(B20,Operations!$A$2:$U$101,9,FALSE)*C20,2)))</f>
        <v/>
      </c>
      <c r="H20" s="142" t="str">
        <f>IF(B20=0,"",IF(C20&gt;9999,"",ROUND(VLOOKUP($B20,Operations!$A$2:$U$101,15,FALSE)*C20,2)))</f>
        <v/>
      </c>
      <c r="I20" s="142" t="str">
        <f>IF(B20=0,0,IF(C20&gt;9999,"",ROUND(VLOOKUP(VLOOKUP(B20,Operations!$A$2:$U$101,11,FALSE),PowerUnits[],16,FALSE)/VLOOKUP(B20,Operations!$A$2:$U$101,9,FALSE)*C20,2)))</f>
        <v/>
      </c>
      <c r="J20" s="142" t="str">
        <f>IF(B20=0,"",IF(C20&gt;9999,"",ROUND(VLOOKUP($B20,Operations!$A$2:$U$101,21,FALSE)*$C20,2)))</f>
        <v/>
      </c>
      <c r="K20" s="142" t="str">
        <f t="shared" si="0"/>
        <v/>
      </c>
      <c r="L20" s="143"/>
    </row>
    <row r="21" spans="1:12" hidden="1" x14ac:dyDescent="0.2">
      <c r="A21" s="196">
        <v>10</v>
      </c>
      <c r="B21" s="203"/>
      <c r="C21" s="205"/>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6">
        <v>11</v>
      </c>
      <c r="B22" s="203"/>
      <c r="C22" s="205"/>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6">
        <v>12</v>
      </c>
      <c r="B23" s="203"/>
      <c r="C23" s="205"/>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6">
        <v>13</v>
      </c>
      <c r="B24" s="203"/>
      <c r="C24" s="205"/>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6">
        <v>14</v>
      </c>
      <c r="B25" s="204"/>
      <c r="C25" s="206"/>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6">
        <v>15</v>
      </c>
      <c r="B26" s="204"/>
      <c r="C26" s="206"/>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6">
        <v>16</v>
      </c>
      <c r="B27" s="204"/>
      <c r="C27" s="206"/>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6">
        <v>17</v>
      </c>
      <c r="B28" s="204"/>
      <c r="C28" s="206"/>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6">
        <v>18</v>
      </c>
      <c r="B29" s="204"/>
      <c r="C29" s="206"/>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6">
        <v>19</v>
      </c>
      <c r="B30" s="204"/>
      <c r="C30" s="206"/>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6">
        <v>20</v>
      </c>
      <c r="B31" s="204"/>
      <c r="C31" s="206"/>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6"/>
      <c r="B32" s="146"/>
      <c r="C32" s="147"/>
      <c r="D32" s="147"/>
      <c r="E32" s="148"/>
      <c r="F32" s="148"/>
      <c r="G32" s="148"/>
      <c r="H32" s="148"/>
      <c r="I32" s="148"/>
      <c r="J32" s="148"/>
      <c r="K32" s="148"/>
      <c r="L32" s="149"/>
    </row>
    <row r="33" spans="1:12" ht="13.5" thickTop="1" x14ac:dyDescent="0.2">
      <c r="C33" s="139" t="s">
        <v>74</v>
      </c>
      <c r="D33" s="139"/>
      <c r="E33" s="150">
        <f>SUM(E12:E31)</f>
        <v>13.18</v>
      </c>
      <c r="F33" s="150">
        <f t="shared" ref="F33:K33" si="1">SUM(F12:F31)</f>
        <v>9.83</v>
      </c>
      <c r="G33" s="150">
        <f t="shared" si="1"/>
        <v>12.14</v>
      </c>
      <c r="H33" s="150">
        <f t="shared" si="1"/>
        <v>6.4899999999999993</v>
      </c>
      <c r="I33" s="150">
        <f t="shared" si="1"/>
        <v>20.85</v>
      </c>
      <c r="J33" s="150">
        <f t="shared" si="1"/>
        <v>11.96</v>
      </c>
      <c r="K33" s="150">
        <f t="shared" si="1"/>
        <v>74.45</v>
      </c>
      <c r="L33" s="143"/>
    </row>
    <row r="35" spans="1:12" ht="24" customHeight="1" thickBot="1" x14ac:dyDescent="0.25">
      <c r="B35" s="136"/>
      <c r="C35" s="136"/>
      <c r="D35" s="136"/>
      <c r="E35" s="136"/>
      <c r="F35" s="226" t="s">
        <v>85</v>
      </c>
      <c r="G35" s="226" t="s">
        <v>82</v>
      </c>
      <c r="H35" s="227" t="s">
        <v>86</v>
      </c>
      <c r="I35" s="227"/>
      <c r="J35" s="226" t="s">
        <v>62</v>
      </c>
      <c r="L35" s="227" t="s">
        <v>361</v>
      </c>
    </row>
    <row r="36" spans="1:12" s="151" customFormat="1" ht="18.75" customHeight="1" thickTop="1" thickBot="1" x14ac:dyDescent="0.25">
      <c r="B36" s="152" t="s">
        <v>81</v>
      </c>
      <c r="C36" s="197"/>
      <c r="D36" s="197"/>
      <c r="E36" s="197"/>
      <c r="F36" s="226"/>
      <c r="G36" s="226"/>
      <c r="H36" s="190" t="s">
        <v>87</v>
      </c>
      <c r="I36" s="191" t="s">
        <v>70</v>
      </c>
      <c r="J36" s="226"/>
      <c r="K36" s="197" t="s">
        <v>83</v>
      </c>
      <c r="L36" s="226"/>
    </row>
    <row r="37" spans="1:12" ht="13.5" thickTop="1" x14ac:dyDescent="0.2">
      <c r="A37" s="175"/>
      <c r="B37" s="203" t="s">
        <v>29</v>
      </c>
      <c r="C37" s="220" t="str">
        <f>IF(B37=0,"",VLOOKUP($B37,Materials!$B$2:$H$127,2,FALSE))</f>
        <v>Herbicide</v>
      </c>
      <c r="D37" s="220"/>
      <c r="E37" s="220"/>
      <c r="F37" s="205">
        <v>1</v>
      </c>
      <c r="G37" s="207">
        <v>1</v>
      </c>
      <c r="H37" s="208">
        <v>32</v>
      </c>
      <c r="I37" s="153" t="str">
        <f>IF($B37=0,"",VLOOKUP($B37,Materials!$B$2:$H$127,5,FALSE))</f>
        <v>ounce</v>
      </c>
      <c r="J37" s="142">
        <f>IF($B37=0,"",VLOOKUP($B37,Materials!$B$2:$H$127,7,FALSE))</f>
        <v>0.125</v>
      </c>
      <c r="K37" s="150">
        <f>IF(B37=0,0,ROUND(G37*H37*J37,2))</f>
        <v>4</v>
      </c>
      <c r="L37" s="143"/>
    </row>
    <row r="38" spans="1:12" x14ac:dyDescent="0.2">
      <c r="A38" s="175"/>
      <c r="B38" s="203" t="s">
        <v>12</v>
      </c>
      <c r="C38" s="220" t="str">
        <f>IF(B38=0,"",VLOOKUP($B38,Materials!$B$2:$H$127,2,FALSE))</f>
        <v>Herbicide</v>
      </c>
      <c r="D38" s="220"/>
      <c r="E38" s="220"/>
      <c r="F38" s="205">
        <v>1</v>
      </c>
      <c r="G38" s="207">
        <v>1</v>
      </c>
      <c r="H38" s="208">
        <v>1.5</v>
      </c>
      <c r="I38" s="153" t="str">
        <f>IF($B38=0,"",VLOOKUP($B38,Materials!$B$2:$H$127,5,FALSE))</f>
        <v>pint</v>
      </c>
      <c r="J38" s="142">
        <f>IF($B38=0,"",VLOOKUP($B38,Materials!$B$2:$H$127,7,FALSE))</f>
        <v>2.5625</v>
      </c>
      <c r="K38" s="150">
        <f t="shared" ref="K38:K55" si="2">IF(B38=0,0,ROUND(G38*H38*J38,2))</f>
        <v>3.84</v>
      </c>
      <c r="L38" s="143"/>
    </row>
    <row r="39" spans="1:12" x14ac:dyDescent="0.2">
      <c r="A39" s="175"/>
      <c r="B39" s="203" t="s">
        <v>439</v>
      </c>
      <c r="C39" s="220" t="str">
        <f>IF(B39=0,"",VLOOKUP($B39,Materials!$B$2:$H$127,2,FALSE))</f>
        <v>Additive</v>
      </c>
      <c r="D39" s="220"/>
      <c r="E39" s="220"/>
      <c r="F39" s="205">
        <v>1</v>
      </c>
      <c r="G39" s="207">
        <v>1</v>
      </c>
      <c r="H39" s="208">
        <v>1.7</v>
      </c>
      <c r="I39" s="153" t="str">
        <f>IF($B39=0,"",VLOOKUP($B39,Materials!$B$2:$H$127,5,FALSE))</f>
        <v>pound</v>
      </c>
      <c r="J39" s="142">
        <f>IF($B39=0,"",VLOOKUP($B39,Materials!$B$2:$H$127,7,FALSE))</f>
        <v>0.35</v>
      </c>
      <c r="K39" s="150">
        <f t="shared" si="2"/>
        <v>0.6</v>
      </c>
      <c r="L39" s="143"/>
    </row>
    <row r="40" spans="1:12" x14ac:dyDescent="0.2">
      <c r="A40" s="175"/>
      <c r="B40" s="203" t="s">
        <v>13</v>
      </c>
      <c r="C40" s="220" t="str">
        <f>IF(B40=0,"",VLOOKUP($B40,Materials!$B$2:$H$127,2,FALSE))</f>
        <v>Fertilizer</v>
      </c>
      <c r="D40" s="220"/>
      <c r="E40" s="220"/>
      <c r="F40" s="205">
        <v>4</v>
      </c>
      <c r="G40" s="207">
        <v>1</v>
      </c>
      <c r="H40" s="208">
        <v>45</v>
      </c>
      <c r="I40" s="153" t="str">
        <f>IF($B40=0,"",VLOOKUP($B40,Materials!$B$2:$H$127,5,FALSE))</f>
        <v>lbs N</v>
      </c>
      <c r="J40" s="142">
        <f>IF($B40=0,"",VLOOKUP($B40,Materials!$B$2:$H$127,7,FALSE))</f>
        <v>0.46666666666666662</v>
      </c>
      <c r="K40" s="150">
        <f t="shared" si="2"/>
        <v>21</v>
      </c>
      <c r="L40" s="143"/>
    </row>
    <row r="41" spans="1:12" x14ac:dyDescent="0.2">
      <c r="A41" s="175"/>
      <c r="B41" s="203" t="s">
        <v>39</v>
      </c>
      <c r="C41" s="220" t="str">
        <f>IF(B41=0,"",VLOOKUP($B41,Materials!$B$2:$H$127,2,FALSE))</f>
        <v>Seed</v>
      </c>
      <c r="D41" s="220"/>
      <c r="E41" s="220"/>
      <c r="F41" s="205">
        <v>5</v>
      </c>
      <c r="G41" s="207">
        <v>1</v>
      </c>
      <c r="H41" s="208">
        <v>12</v>
      </c>
      <c r="I41" s="153" t="str">
        <f>IF($B41=0,"",VLOOKUP($B41,Materials!$B$2:$H$127,5,FALSE))</f>
        <v>pound</v>
      </c>
      <c r="J41" s="142">
        <f>IF($B41=0,"",VLOOKUP($B41,Materials!$B$2:$H$127,7,FALSE))</f>
        <v>0.45</v>
      </c>
      <c r="K41" s="150">
        <f t="shared" si="2"/>
        <v>5.4</v>
      </c>
      <c r="L41" s="143"/>
    </row>
    <row r="42" spans="1:12" x14ac:dyDescent="0.2">
      <c r="A42" s="175"/>
      <c r="B42" s="203" t="s">
        <v>10</v>
      </c>
      <c r="C42" s="220" t="str">
        <f>IF(B42=0,"",VLOOKUP($B42,Materials!$B$2:$H$127,2,FALSE))</f>
        <v>Herbicide</v>
      </c>
      <c r="D42" s="220"/>
      <c r="E42" s="220"/>
      <c r="F42" s="205">
        <v>6</v>
      </c>
      <c r="G42" s="207">
        <v>1</v>
      </c>
      <c r="H42" s="208">
        <v>0.75</v>
      </c>
      <c r="I42" s="153" t="str">
        <f>IF($B42=0,"",VLOOKUP($B42,Materials!$B$2:$H$127,5,FALSE))</f>
        <v>pint</v>
      </c>
      <c r="J42" s="142">
        <f>IF($B42=0,"",VLOOKUP($B42,Materials!$B$2:$H$127,7,FALSE))</f>
        <v>1.875</v>
      </c>
      <c r="K42" s="150">
        <f t="shared" si="2"/>
        <v>1.41</v>
      </c>
      <c r="L42" s="143"/>
    </row>
    <row r="43" spans="1:12" x14ac:dyDescent="0.2">
      <c r="A43" s="180"/>
      <c r="B43" s="203" t="s">
        <v>25</v>
      </c>
      <c r="C43" s="220" t="str">
        <f>IF(B43=0,"",VLOOKUP($B43,Materials!$B$2:$H$127,2,FALSE))</f>
        <v>Herbicide</v>
      </c>
      <c r="D43" s="220"/>
      <c r="E43" s="220"/>
      <c r="F43" s="205">
        <v>6</v>
      </c>
      <c r="G43" s="207">
        <v>1</v>
      </c>
      <c r="H43" s="208">
        <v>0.5</v>
      </c>
      <c r="I43" s="153" t="str">
        <f>IF($B43=0,"",VLOOKUP($B43,Materials!$B$2:$H$127,5,FALSE))</f>
        <v>ounce</v>
      </c>
      <c r="J43" s="142">
        <f>IF($B43=0,"",VLOOKUP($B43,Materials!$B$2:$H$127,7,FALSE))</f>
        <v>0.5859375</v>
      </c>
      <c r="K43" s="150">
        <f t="shared" si="2"/>
        <v>0.28999999999999998</v>
      </c>
      <c r="L43" s="143"/>
    </row>
    <row r="44" spans="1:12" x14ac:dyDescent="0.2">
      <c r="A44" s="180"/>
      <c r="B44" s="203" t="s">
        <v>380</v>
      </c>
      <c r="C44" s="220" t="str">
        <f>IF(B44=0,"",VLOOKUP($B44,Materials!$B$2:$H$127,2,FALSE))</f>
        <v>Custom</v>
      </c>
      <c r="D44" s="220"/>
      <c r="E44" s="220"/>
      <c r="F44" s="205">
        <v>9</v>
      </c>
      <c r="G44" s="207">
        <v>1</v>
      </c>
      <c r="H44" s="208">
        <f>$A$4</f>
        <v>22</v>
      </c>
      <c r="I44" s="153" t="str">
        <f>IF($B44=0,"",VLOOKUP($B44,Materials!$B$2:$H$127,5,FALSE))</f>
        <v>cwt</v>
      </c>
      <c r="J44" s="142">
        <f>IF($B44=0,"",VLOOKUP($B44,Materials!$B$2:$H$127,7,FALSE))</f>
        <v>0.24</v>
      </c>
      <c r="K44" s="150">
        <f t="shared" si="2"/>
        <v>5.28</v>
      </c>
      <c r="L44" s="143"/>
    </row>
    <row r="45" spans="1:12" hidden="1" x14ac:dyDescent="0.2">
      <c r="A45" s="180"/>
      <c r="B45" s="203"/>
      <c r="C45" s="220" t="str">
        <f>IF(B45=0,"",VLOOKUP($B45,Materials!$B$2:$H$127,2,FALSE))</f>
        <v/>
      </c>
      <c r="D45" s="220"/>
      <c r="E45" s="220"/>
      <c r="F45" s="205"/>
      <c r="G45" s="207"/>
      <c r="H45" s="208"/>
      <c r="I45" s="153" t="str">
        <f>IF($B45=0,"",VLOOKUP($B45,Materials!$B$2:$H$127,5,FALSE))</f>
        <v/>
      </c>
      <c r="J45" s="142" t="str">
        <f>IF($B45=0,"",VLOOKUP($B45,Materials!$B$2:$H$127,7,FALSE))</f>
        <v/>
      </c>
      <c r="K45" s="150">
        <f t="shared" si="2"/>
        <v>0</v>
      </c>
      <c r="L45" s="143"/>
    </row>
    <row r="46" spans="1:12" hidden="1" x14ac:dyDescent="0.2">
      <c r="A46" s="180"/>
      <c r="B46" s="203"/>
      <c r="C46" s="220" t="str">
        <f>IF(B46=0,"",VLOOKUP($B46,Materials!$B$2:$H$127,2,FALSE))</f>
        <v/>
      </c>
      <c r="D46" s="220"/>
      <c r="E46" s="220"/>
      <c r="F46" s="205"/>
      <c r="G46" s="207"/>
      <c r="H46" s="208"/>
      <c r="I46" s="153" t="str">
        <f>IF($B46=0,"",VLOOKUP($B46,Materials!$B$2:$H$127,5,FALSE))</f>
        <v/>
      </c>
      <c r="J46" s="142" t="str">
        <f>IF($B46=0,"",VLOOKUP($B46,Materials!$B$2:$H$127,7,FALSE))</f>
        <v/>
      </c>
      <c r="K46" s="150">
        <f t="shared" si="2"/>
        <v>0</v>
      </c>
      <c r="L46" s="143"/>
    </row>
    <row r="47" spans="1:12" hidden="1" x14ac:dyDescent="0.2">
      <c r="A47" s="180"/>
      <c r="B47" s="203"/>
      <c r="C47" s="220" t="str">
        <f>IF(B47=0,"",VLOOKUP($B47,Materials!$B$2:$H$127,2,FALSE))</f>
        <v/>
      </c>
      <c r="D47" s="220"/>
      <c r="E47" s="220"/>
      <c r="F47" s="205"/>
      <c r="G47" s="207"/>
      <c r="H47" s="208"/>
      <c r="I47" s="153" t="str">
        <f>IF($B47=0,"",VLOOKUP($B47,Materials!$B$2:$H$127,5,FALSE))</f>
        <v/>
      </c>
      <c r="J47" s="142" t="str">
        <f>IF($B47=0,"",VLOOKUP($B47,Materials!$B$2:$H$127,7,FALSE))</f>
        <v/>
      </c>
      <c r="K47" s="150">
        <f t="shared" si="2"/>
        <v>0</v>
      </c>
      <c r="L47" s="143"/>
    </row>
    <row r="48" spans="1:12" hidden="1" x14ac:dyDescent="0.2">
      <c r="A48" s="175"/>
      <c r="B48" s="203"/>
      <c r="C48" s="220" t="str">
        <f>IF(B48=0,"",VLOOKUP($B48,Materials!$B$2:$H$127,2,FALSE))</f>
        <v/>
      </c>
      <c r="D48" s="220"/>
      <c r="E48" s="220"/>
      <c r="F48" s="205"/>
      <c r="G48" s="207"/>
      <c r="H48" s="208"/>
      <c r="I48" s="153" t="str">
        <f>IF($B48=0,"",VLOOKUP($B48,Materials!$B$2:$H$127,5,FALSE))</f>
        <v/>
      </c>
      <c r="J48" s="142" t="str">
        <f>IF($B48=0,"",VLOOKUP($B48,Materials!$B$2:$H$127,7,FALSE))</f>
        <v/>
      </c>
      <c r="K48" s="150">
        <f t="shared" si="2"/>
        <v>0</v>
      </c>
      <c r="L48" s="143"/>
    </row>
    <row r="49" spans="1:12" hidden="1" x14ac:dyDescent="0.2">
      <c r="A49" s="175"/>
      <c r="B49" s="203"/>
      <c r="C49" s="220" t="str">
        <f>IF(B49=0,"",VLOOKUP($B49,Materials!$B$2:$H$127,2,FALSE))</f>
        <v/>
      </c>
      <c r="D49" s="220"/>
      <c r="E49" s="220"/>
      <c r="F49" s="205"/>
      <c r="G49" s="207"/>
      <c r="H49" s="208"/>
      <c r="I49" s="153" t="str">
        <f>IF($B49=0,"",VLOOKUP($B49,Materials!$B$2:$H$127,5,FALSE))</f>
        <v/>
      </c>
      <c r="J49" s="142" t="str">
        <f>IF($B49=0,"",VLOOKUP($B49,Materials!$B$2:$H$127,7,FALSE))</f>
        <v/>
      </c>
      <c r="K49" s="150">
        <f t="shared" si="2"/>
        <v>0</v>
      </c>
      <c r="L49" s="143"/>
    </row>
    <row r="50" spans="1:12" hidden="1" x14ac:dyDescent="0.2">
      <c r="B50" s="204"/>
      <c r="C50" s="220" t="str">
        <f>IF(B50=0,"",VLOOKUP($B50,Materials!$B$2:$H$127,2,FALSE))</f>
        <v/>
      </c>
      <c r="D50" s="220"/>
      <c r="E50" s="220"/>
      <c r="F50" s="206"/>
      <c r="G50" s="207"/>
      <c r="H50" s="210"/>
      <c r="I50" s="153" t="str">
        <f>IF($B50=0,"",VLOOKUP($B50,Materials!$B$2:$H$127,5,FALSE))</f>
        <v/>
      </c>
      <c r="J50" s="142" t="str">
        <f>IF($B50=0,"",VLOOKUP($B50,Materials!$B$2:$H$127,7,FALSE))</f>
        <v/>
      </c>
      <c r="K50" s="150">
        <f t="shared" si="2"/>
        <v>0</v>
      </c>
      <c r="L50" s="143"/>
    </row>
    <row r="51" spans="1:12" hidden="1" x14ac:dyDescent="0.2">
      <c r="B51" s="204"/>
      <c r="C51" s="220" t="str">
        <f>IF(B51=0,"",VLOOKUP($B51,Materials!$B$2:$H$127,2,FALSE))</f>
        <v/>
      </c>
      <c r="D51" s="220"/>
      <c r="E51" s="220"/>
      <c r="F51" s="206"/>
      <c r="G51" s="207"/>
      <c r="H51" s="210"/>
      <c r="I51" s="153" t="str">
        <f>IF($B51=0,"",VLOOKUP($B51,Materials!$B$2:$H$127,5,FALSE))</f>
        <v/>
      </c>
      <c r="J51" s="142" t="str">
        <f>IF($B51=0,"",VLOOKUP($B51,Materials!$B$2:$H$127,7,FALSE))</f>
        <v/>
      </c>
      <c r="K51" s="150">
        <f t="shared" si="2"/>
        <v>0</v>
      </c>
      <c r="L51" s="143"/>
    </row>
    <row r="52" spans="1:12" hidden="1" x14ac:dyDescent="0.2">
      <c r="B52" s="204"/>
      <c r="C52" s="220" t="str">
        <f>IF(B52=0,"",VLOOKUP($B52,Materials!$B$2:$H$127,2,FALSE))</f>
        <v/>
      </c>
      <c r="D52" s="220"/>
      <c r="E52" s="220"/>
      <c r="F52" s="206"/>
      <c r="G52" s="211"/>
      <c r="H52" s="210"/>
      <c r="I52" s="153" t="str">
        <f>IF($B52=0,"",VLOOKUP($B52,Materials!$B$2:$H$127,5,FALSE))</f>
        <v/>
      </c>
      <c r="J52" s="142" t="str">
        <f>IF($B52=0,"",VLOOKUP($B52,Materials!$B$2:$H$127,7,FALSE))</f>
        <v/>
      </c>
      <c r="K52" s="150">
        <f t="shared" si="2"/>
        <v>0</v>
      </c>
      <c r="L52" s="143"/>
    </row>
    <row r="53" spans="1:12" hidden="1" x14ac:dyDescent="0.2">
      <c r="B53" s="204"/>
      <c r="C53" s="220" t="str">
        <f>IF(B53=0,"",VLOOKUP($B53,Materials!$B$2:$H$127,2,FALSE))</f>
        <v/>
      </c>
      <c r="D53" s="220"/>
      <c r="E53" s="220"/>
      <c r="F53" s="206"/>
      <c r="G53" s="211"/>
      <c r="H53" s="210"/>
      <c r="I53" s="153" t="str">
        <f>IF($B53=0,"",VLOOKUP($B53,Materials!$B$2:$H$127,5,FALSE))</f>
        <v/>
      </c>
      <c r="J53" s="142" t="str">
        <f>IF($B53=0,"",VLOOKUP($B53,Materials!$B$2:$H$127,7,FALSE))</f>
        <v/>
      </c>
      <c r="K53" s="150">
        <f t="shared" si="2"/>
        <v>0</v>
      </c>
      <c r="L53" s="143"/>
    </row>
    <row r="54" spans="1:12" hidden="1" x14ac:dyDescent="0.2">
      <c r="B54" s="204"/>
      <c r="C54" s="220" t="str">
        <f>IF(B54=0,"",VLOOKUP($B54,Materials!$B$2:$H$127,2,FALSE))</f>
        <v/>
      </c>
      <c r="D54" s="220"/>
      <c r="E54" s="220"/>
      <c r="F54" s="206"/>
      <c r="G54" s="211"/>
      <c r="H54" s="210"/>
      <c r="I54" s="153" t="str">
        <f>IF($B54=0,"",VLOOKUP($B54,Materials!$B$2:$H$127,5,FALSE))</f>
        <v/>
      </c>
      <c r="J54" s="142" t="str">
        <f>IF($B54=0,"",VLOOKUP($B54,Materials!$B$2:$H$127,7,FALSE))</f>
        <v/>
      </c>
      <c r="K54" s="150">
        <f t="shared" si="2"/>
        <v>0</v>
      </c>
      <c r="L54" s="143"/>
    </row>
    <row r="55" spans="1:12" hidden="1" x14ac:dyDescent="0.2">
      <c r="B55" s="204"/>
      <c r="C55" s="220" t="str">
        <f>IF(B55=0,"",VLOOKUP($B55,Materials!$B$2:$H$127,2,FALSE))</f>
        <v/>
      </c>
      <c r="D55" s="220"/>
      <c r="E55" s="220"/>
      <c r="F55" s="206"/>
      <c r="G55" s="211"/>
      <c r="H55" s="210"/>
      <c r="I55" s="153" t="str">
        <f>IF($B55=0,"",VLOOKUP($B55,Materials!$B$2:$H$127,5,FALSE))</f>
        <v/>
      </c>
      <c r="J55" s="142" t="str">
        <f>IF($B55=0,"",VLOOKUP($B55,Materials!$B$2:$H$127,7,FALSE))</f>
        <v/>
      </c>
      <c r="K55" s="150">
        <f t="shared" si="2"/>
        <v>0</v>
      </c>
      <c r="L55" s="145"/>
    </row>
    <row r="56" spans="1:12" hidden="1" x14ac:dyDescent="0.2">
      <c r="B56" s="204"/>
      <c r="C56" s="220" t="str">
        <f>IF(B56=0,"",VLOOKUP($B56,Materials!$B$2:$H$127,2,FALSE))</f>
        <v/>
      </c>
      <c r="D56" s="220"/>
      <c r="E56" s="220"/>
      <c r="F56" s="206"/>
      <c r="G56" s="211"/>
      <c r="H56" s="210"/>
      <c r="I56" s="153" t="str">
        <f>IF($B56=0,"",VLOOKUP($B56,Materials!$B$2:$H$127,5,FALSE))</f>
        <v/>
      </c>
      <c r="J56" s="142" t="str">
        <f>IF($B56=0,"",VLOOKUP($B56,Materials!$B$2:$H$127,7,FALSE))</f>
        <v/>
      </c>
      <c r="K56" s="150">
        <f>IF(B56=0,0,ROUND(G56*H56*J56,2))</f>
        <v>0</v>
      </c>
      <c r="L56" s="145"/>
    </row>
    <row r="57" spans="1:12" hidden="1" x14ac:dyDescent="0.2">
      <c r="B57" s="204"/>
      <c r="C57" s="220" t="str">
        <f>IF(B57=0,"",VLOOKUP($B57,Materials!$B$2:$H$127,2,FALSE))</f>
        <v/>
      </c>
      <c r="D57" s="220"/>
      <c r="E57" s="220"/>
      <c r="F57" s="206"/>
      <c r="G57" s="211"/>
      <c r="H57" s="210"/>
      <c r="I57" s="153" t="str">
        <f>IF($B57=0,"",VLOOKUP($B57,Materials!$B$2:$H$127,5,FALSE))</f>
        <v/>
      </c>
      <c r="J57" s="142" t="str">
        <f>IF($B57=0,"",VLOOKUP($B57,Materials!$B$2:$H$127,7,FALSE))</f>
        <v/>
      </c>
      <c r="K57" s="150">
        <f>IF(B57=0,0,ROUND(G57*H57*J57,2))</f>
        <v>0</v>
      </c>
      <c r="L57" s="145"/>
    </row>
    <row r="58" spans="1:12" hidden="1" x14ac:dyDescent="0.2">
      <c r="B58" s="204"/>
      <c r="C58" s="220" t="str">
        <f>IF(B58=0,"",VLOOKUP($B58,Materials!$B$2:$H$127,2,FALSE))</f>
        <v/>
      </c>
      <c r="D58" s="220"/>
      <c r="E58" s="220"/>
      <c r="F58" s="206"/>
      <c r="G58" s="211"/>
      <c r="H58" s="210"/>
      <c r="I58" s="153" t="str">
        <f>IF($B58=0,"",VLOOKUP($B58,Materials!$B$2:$H$127,5,FALSE))</f>
        <v/>
      </c>
      <c r="J58" s="142" t="str">
        <f>IF($B58=0,"",VLOOKUP($B58,Materials!$B$2:$H$127,7,FALSE))</f>
        <v/>
      </c>
      <c r="K58" s="150">
        <f>IF(B58=0,0,ROUND(G58*H58*J58,2))</f>
        <v>0</v>
      </c>
      <c r="L58" s="145"/>
    </row>
    <row r="59" spans="1:12" hidden="1" x14ac:dyDescent="0.2">
      <c r="B59" s="204"/>
      <c r="C59" s="220" t="str">
        <f>IF(B59=0,"",VLOOKUP($B59,Materials!$B$2:$H$127,2,FALSE))</f>
        <v/>
      </c>
      <c r="D59" s="220"/>
      <c r="E59" s="220"/>
      <c r="F59" s="206"/>
      <c r="G59" s="211"/>
      <c r="H59" s="210"/>
      <c r="I59" s="153" t="str">
        <f>IF($B59=0,"",VLOOKUP($B59,Materials!$B$2:$H$127,5,FALSE))</f>
        <v/>
      </c>
      <c r="J59" s="142" t="str">
        <f>IF($B59=0,"",VLOOKUP($B59,Materials!$B$2:$H$127,7,FALSE))</f>
        <v/>
      </c>
      <c r="K59" s="150">
        <f>IF(B59=0,0,ROUND(G59*H59*J59,2))</f>
        <v>0</v>
      </c>
      <c r="L59" s="145"/>
    </row>
    <row r="60" spans="1:12" hidden="1" x14ac:dyDescent="0.2">
      <c r="B60" s="204"/>
      <c r="C60" s="220" t="str">
        <f>IF(B60=0,"",VLOOKUP($B60,Materials!$B$2:$H$127,2,FALSE))</f>
        <v/>
      </c>
      <c r="D60" s="220"/>
      <c r="E60" s="220"/>
      <c r="F60" s="206"/>
      <c r="G60" s="211"/>
      <c r="H60" s="210"/>
      <c r="I60" s="153" t="str">
        <f>IF($B60=0,"",VLOOKUP($B60,Materials!$B$2:$H$127,5,FALSE))</f>
        <v/>
      </c>
      <c r="J60" s="142" t="str">
        <f>IF($B60=0,"",VLOOKUP($B60,Materials!$B$2:$H$127,7,FALSE))</f>
        <v/>
      </c>
      <c r="K60" s="150">
        <f>IF(B60=0,0,ROUND(G60*H60*J60,2))</f>
        <v>0</v>
      </c>
      <c r="L60" s="145"/>
    </row>
    <row r="61" spans="1:12" hidden="1" x14ac:dyDescent="0.2">
      <c r="B61" s="204" t="s">
        <v>39</v>
      </c>
      <c r="C61" s="220" t="str">
        <f>IF(B61=0,0,"Crop Insurance")</f>
        <v>Crop Insurance</v>
      </c>
      <c r="D61" s="220"/>
      <c r="E61" s="220"/>
      <c r="F61" s="144"/>
      <c r="G61" s="201"/>
      <c r="H61" s="202"/>
      <c r="I61" s="195"/>
      <c r="J61" s="142"/>
      <c r="K61" s="142">
        <f>IF(B61=0,0,J61)</f>
        <v>0</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41.819999999999993</v>
      </c>
      <c r="L63" s="143"/>
    </row>
    <row r="64" spans="1:12" x14ac:dyDescent="0.2">
      <c r="B64" s="181"/>
      <c r="K64" s="161"/>
    </row>
    <row r="65" spans="2:12" x14ac:dyDescent="0.2">
      <c r="B65" s="140" t="s">
        <v>552</v>
      </c>
      <c r="K65" s="161">
        <f>K33+K63</f>
        <v>116.27</v>
      </c>
      <c r="L65" s="143"/>
    </row>
    <row r="66" spans="2:12" ht="13.5" thickBot="1" x14ac:dyDescent="0.25">
      <c r="D66" s="162" t="s">
        <v>570</v>
      </c>
      <c r="E66" s="163">
        <f>ROUND(SUM($E$33:$H$33)+$K$63,2)</f>
        <v>83.46</v>
      </c>
      <c r="F66" s="222" t="s">
        <v>362</v>
      </c>
      <c r="G66" s="222"/>
      <c r="H66" s="164">
        <f>'General Variables'!$B$11</f>
        <v>5.5E-2</v>
      </c>
      <c r="I66" s="165" t="str">
        <f>CONCATENATE("for ",TEXT('General Variables'!$B$12,"0.0")," mo.")</f>
        <v>for 6.0 mo.</v>
      </c>
      <c r="K66" s="166">
        <f>E66*H66*'General Variables'!$B$12/12</f>
        <v>2.29515</v>
      </c>
      <c r="L66" s="167"/>
    </row>
    <row r="67" spans="2:12" ht="13.5" thickTop="1" x14ac:dyDescent="0.2">
      <c r="B67" s="140" t="s">
        <v>366</v>
      </c>
      <c r="K67" s="161">
        <f>SUM(K65:K66)</f>
        <v>118.56515</v>
      </c>
      <c r="L67" s="143"/>
    </row>
    <row r="68" spans="2:12" x14ac:dyDescent="0.2">
      <c r="K68" s="161"/>
    </row>
    <row r="69" spans="2:12" x14ac:dyDescent="0.2">
      <c r="B69" s="168" t="s">
        <v>588</v>
      </c>
      <c r="C69" s="169"/>
      <c r="D69" s="169"/>
      <c r="E69" s="169"/>
      <c r="F69" s="169"/>
      <c r="G69" s="169"/>
      <c r="H69" s="169"/>
      <c r="I69" s="169"/>
      <c r="J69" s="169"/>
      <c r="K69" s="170">
        <f>'General Variables'!B14</f>
        <v>20</v>
      </c>
      <c r="L69" s="143"/>
    </row>
    <row r="70" spans="2:12" x14ac:dyDescent="0.2">
      <c r="B70" s="129" t="s">
        <v>369</v>
      </c>
      <c r="C70" s="223" t="s">
        <v>427</v>
      </c>
      <c r="D70" s="224"/>
      <c r="E70" s="225"/>
      <c r="F70" s="171">
        <f>IF(C70=0,0,VLOOKUP(C70,RETable,2,FALSE))</f>
        <v>730</v>
      </c>
      <c r="G70" s="222" t="s">
        <v>370</v>
      </c>
      <c r="H70" s="222"/>
      <c r="I70" s="164">
        <f>'General Variables'!$B$10</f>
        <v>0.04</v>
      </c>
      <c r="K70" s="172">
        <f>ROUND(F70*I70,2)</f>
        <v>29.2</v>
      </c>
      <c r="L70" s="143"/>
    </row>
    <row r="71" spans="2:12" ht="13.5" thickBot="1" x14ac:dyDescent="0.25">
      <c r="B71" s="129" t="s">
        <v>378</v>
      </c>
      <c r="F71" s="173">
        <f>IF(C70=0,0,VLOOKUP(C70,RETable,2,FALSE))</f>
        <v>730</v>
      </c>
      <c r="G71" s="221" t="s">
        <v>370</v>
      </c>
      <c r="H71" s="221"/>
      <c r="I71" s="174">
        <f>'General Variables'!$B$13</f>
        <v>0.01</v>
      </c>
      <c r="J71" s="175"/>
      <c r="K71" s="176">
        <f>ROUND(F71*I71,2)</f>
        <v>7.3</v>
      </c>
      <c r="L71" s="167"/>
    </row>
    <row r="72" spans="2:12" ht="13.5" thickTop="1" x14ac:dyDescent="0.2">
      <c r="B72" s="140" t="s">
        <v>383</v>
      </c>
      <c r="K72" s="161">
        <f>SUM(K67:K71)</f>
        <v>175.06515000000002</v>
      </c>
      <c r="L72" s="143"/>
    </row>
    <row r="73" spans="2:12" x14ac:dyDescent="0.2">
      <c r="K73" s="162"/>
    </row>
    <row r="74" spans="2:12" x14ac:dyDescent="0.2">
      <c r="B74" s="140" t="str">
        <f>"Cost per "&amp;$B$4</f>
        <v>Cost per cwt</v>
      </c>
      <c r="K74" s="177">
        <f>IF(A4="Yield",0,K72/$A$4)</f>
        <v>7.9575068181818187</v>
      </c>
      <c r="L74" s="143"/>
    </row>
    <row r="75" spans="2:12" x14ac:dyDescent="0.2">
      <c r="B75" s="178" t="str">
        <f>"Cash Cost per "&amp;$B$4</f>
        <v>Cash Cost per cwt</v>
      </c>
      <c r="C75" s="175"/>
      <c r="D75" s="175"/>
      <c r="E75" s="175"/>
      <c r="F75" s="175"/>
      <c r="G75" s="175"/>
      <c r="H75" s="175"/>
      <c r="I75" s="175"/>
      <c r="J75" s="175"/>
      <c r="K75" s="179">
        <f>IF($A$4="Yield",0,(E66+K66+K71)/$A$4)</f>
        <v>4.2297795454545453</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505</v>
      </c>
    </row>
    <row r="112" spans="2:11" x14ac:dyDescent="0.2">
      <c r="B112" s="175"/>
      <c r="C112" s="175"/>
      <c r="D112" s="175"/>
      <c r="H112" s="129" t="str">
        <f>'General Variables'!A20</f>
        <v>Corn Irrigated</v>
      </c>
      <c r="K112" s="129" t="s">
        <v>506</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27</vt:i4>
      </vt:variant>
    </vt:vector>
  </HeadingPairs>
  <TitlesOfParts>
    <vt:vector size="42" baseType="lpstr">
      <vt:lpstr>Title</vt:lpstr>
      <vt:lpstr>General Variables</vt:lpstr>
      <vt:lpstr>Power Units</vt:lpstr>
      <vt:lpstr>Materials</vt:lpstr>
      <vt:lpstr>Operations</vt:lpstr>
      <vt:lpstr>Start</vt:lpstr>
      <vt:lpstr>42-Grass</vt:lpstr>
      <vt:lpstr>43-Grass Hay</vt:lpstr>
      <vt:lpstr>44-Millet</vt:lpstr>
      <vt:lpstr>45-Millet</vt:lpstr>
      <vt:lpstr>46-Oats</vt:lpstr>
      <vt:lpstr>47-Pasture</vt:lpstr>
      <vt:lpstr>48-Peas</vt:lpstr>
      <vt:lpstr>49-Sorghum-Sudan</vt:lpstr>
      <vt:lpstr>Stop</vt:lpstr>
      <vt:lpstr>CropInsurance</vt:lpstr>
      <vt:lpstr>ImpDepLookup</vt:lpstr>
      <vt:lpstr>MaterialList</vt:lpstr>
      <vt:lpstr>Materials</vt:lpstr>
      <vt:lpstr>OperationList</vt:lpstr>
      <vt:lpstr>pd</vt:lpstr>
      <vt:lpstr>'42-Grass'!Print_Area</vt:lpstr>
      <vt:lpstr>'43-Grass Hay'!Print_Area</vt:lpstr>
      <vt:lpstr>'44-Millet'!Print_Area</vt:lpstr>
      <vt:lpstr>'45-Millet'!Print_Area</vt:lpstr>
      <vt:lpstr>'46-Oats'!Print_Area</vt:lpstr>
      <vt:lpstr>'47-Pasture'!Print_Area</vt:lpstr>
      <vt:lpstr>'48-Peas'!Print_Area</vt:lpstr>
      <vt:lpstr>'49-Sorghum-Sudan'!Print_Area</vt:lpstr>
      <vt:lpstr>'General Variables'!Print_Area</vt:lpstr>
      <vt:lpstr>Materials!Print_Area</vt:lpstr>
      <vt:lpstr>Operations!Print_Area</vt:lpstr>
      <vt:lpstr>Title!Print_Area</vt:lpstr>
      <vt:lpstr>'45-Millet'!PwrDepreciation</vt:lpstr>
      <vt:lpstr>'48-Peas'!PwrDepreciation</vt:lpstr>
      <vt:lpstr>PwrDepreciation</vt:lpstr>
      <vt:lpstr>PwrUnit</vt:lpstr>
      <vt:lpstr>RealEstateList</vt:lpstr>
      <vt:lpstr>'45-Millet'!RETable</vt:lpstr>
      <vt:lpstr>'48-Peas'!RETable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2016-01-13T17:14:19Z</dcterms:modified>
</cp:coreProperties>
</file>